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Analiza Ip 2024\"/>
    </mc:Choice>
  </mc:AlternateContent>
  <xr:revisionPtr revIDLastSave="0" documentId="13_ncr:1_{41FC464B-D060-4839-B727-D927B91F5DBD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T.I" sheetId="26" r:id="rId1"/>
    <sheet name="T.II" sheetId="2" r:id="rId2"/>
    <sheet name="T.III" sheetId="55" r:id="rId3"/>
    <sheet name="T.IV" sheetId="6" r:id="rId4"/>
    <sheet name="T.V" sheetId="28" r:id="rId5"/>
    <sheet name="T.VI" sheetId="27" r:id="rId6"/>
    <sheet name="T.VII" sheetId="31" r:id="rId7"/>
    <sheet name="T.VIII" sheetId="29" r:id="rId8"/>
    <sheet name="T.IX" sheetId="32" r:id="rId9"/>
    <sheet name="T.X T.XI T.XII" sheetId="12" r:id="rId10"/>
    <sheet name="T.XIII" sheetId="3" r:id="rId11"/>
    <sheet name="T.XIV T.XV" sheetId="37" r:id="rId12"/>
    <sheet name="T.XVI" sheetId="40" r:id="rId13"/>
    <sheet name="T.XVII" sheetId="54" r:id="rId14"/>
    <sheet name="T.XVIII" sheetId="39" r:id="rId15"/>
    <sheet name="T.XIX" sheetId="34" r:id="rId16"/>
    <sheet name="T.XX" sheetId="41" r:id="rId17"/>
    <sheet name="T.XXI" sheetId="42" r:id="rId18"/>
    <sheet name="T.XXII" sheetId="17" r:id="rId19"/>
    <sheet name="T.XXIII" sheetId="43" r:id="rId20"/>
    <sheet name="T.XXIV" sheetId="44" r:id="rId21"/>
    <sheet name="T.XXV" sheetId="56" r:id="rId22"/>
    <sheet name="T.XXVI" sheetId="18" r:id="rId23"/>
    <sheet name="T.XXVII" sheetId="46" r:id="rId24"/>
    <sheet name="T.XXVIII" sheetId="5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57" l="1"/>
  <c r="Q7" i="57"/>
  <c r="E9" i="31"/>
  <c r="G7" i="2"/>
  <c r="G37" i="44"/>
  <c r="E35" i="17"/>
  <c r="P37" i="17"/>
  <c r="G17" i="41" l="1"/>
  <c r="J18" i="41"/>
  <c r="J17" i="41"/>
  <c r="G13" i="41"/>
  <c r="H14" i="37"/>
  <c r="G29" i="37"/>
  <c r="K29" i="37" s="1"/>
  <c r="I31" i="37"/>
  <c r="M31" i="37" s="1"/>
  <c r="N31" i="37" s="1"/>
  <c r="G31" i="37"/>
  <c r="K31" i="37" s="1"/>
  <c r="L31" i="37" s="1"/>
  <c r="M13" i="37"/>
  <c r="N13" i="37" s="1"/>
  <c r="K13" i="37"/>
  <c r="L13" i="37" s="1"/>
  <c r="L24" i="3"/>
  <c r="L18" i="3"/>
  <c r="M8" i="3"/>
  <c r="M9" i="3"/>
  <c r="P21" i="12"/>
  <c r="P20" i="12"/>
  <c r="H21" i="12"/>
  <c r="H20" i="12"/>
  <c r="H8" i="12"/>
  <c r="H7" i="12"/>
  <c r="K10" i="6"/>
  <c r="K9" i="6"/>
  <c r="N9" i="6" s="1"/>
  <c r="N13" i="6"/>
  <c r="N14" i="6"/>
  <c r="N12" i="6"/>
  <c r="O13" i="6"/>
  <c r="O12" i="6"/>
  <c r="J9" i="6"/>
  <c r="M17" i="6"/>
  <c r="M16" i="6"/>
  <c r="M15" i="6"/>
  <c r="M14" i="6"/>
  <c r="M13" i="6"/>
  <c r="M12" i="6"/>
  <c r="O10" i="6"/>
  <c r="O9" i="6"/>
  <c r="M10" i="6"/>
  <c r="M9" i="6"/>
  <c r="N10" i="6"/>
  <c r="G40" i="34" l="1"/>
  <c r="H38" i="34"/>
  <c r="H37" i="34"/>
  <c r="H36" i="34"/>
  <c r="H35" i="34"/>
  <c r="H34" i="34"/>
  <c r="G36" i="34"/>
  <c r="G35" i="34"/>
  <c r="G37" i="34"/>
  <c r="G34" i="34"/>
  <c r="G43" i="34"/>
  <c r="G42" i="34"/>
  <c r="G41" i="34"/>
  <c r="J10" i="6"/>
  <c r="H13" i="37"/>
  <c r="K7" i="39"/>
  <c r="H7" i="39"/>
  <c r="E7" i="39"/>
  <c r="H6" i="26"/>
  <c r="K10" i="43"/>
  <c r="K9" i="43"/>
  <c r="G9" i="43"/>
  <c r="L32" i="46"/>
  <c r="P23" i="12"/>
  <c r="P22" i="12"/>
  <c r="M9" i="12"/>
  <c r="M8" i="12"/>
  <c r="M7" i="12"/>
  <c r="L9" i="12"/>
  <c r="K8" i="12"/>
  <c r="K7" i="12"/>
  <c r="AB22" i="40"/>
  <c r="AB20" i="40"/>
  <c r="AB18" i="40"/>
  <c r="AB19" i="40" l="1"/>
  <c r="AB21" i="40" s="1"/>
  <c r="G9" i="2"/>
  <c r="G8" i="2"/>
  <c r="F7" i="2"/>
  <c r="N12" i="29"/>
  <c r="N11" i="29"/>
  <c r="N10" i="29"/>
  <c r="N9" i="29"/>
  <c r="N8" i="29"/>
  <c r="J9" i="28"/>
  <c r="H5" i="55"/>
  <c r="G5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L26" i="55"/>
  <c r="L25" i="55"/>
  <c r="L24" i="55"/>
  <c r="L23" i="55"/>
  <c r="L22" i="55"/>
  <c r="L21" i="55"/>
  <c r="L20" i="55"/>
  <c r="L19" i="55"/>
  <c r="L18" i="55"/>
  <c r="L17" i="55"/>
  <c r="L16" i="55"/>
  <c r="L15" i="55"/>
  <c r="L14" i="55"/>
  <c r="L13" i="55"/>
  <c r="L12" i="55"/>
  <c r="L11" i="55"/>
  <c r="L10" i="55"/>
  <c r="L9" i="55"/>
  <c r="L8" i="55"/>
  <c r="L7" i="55"/>
  <c r="L6" i="55"/>
  <c r="C26" i="55"/>
  <c r="C22" i="55"/>
  <c r="F11" i="34"/>
  <c r="E31" i="34"/>
  <c r="F12" i="34" s="1"/>
  <c r="D8" i="34"/>
  <c r="D31" i="34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G19" i="41"/>
  <c r="G18" i="41"/>
  <c r="G16" i="41"/>
  <c r="G15" i="41"/>
  <c r="G14" i="41"/>
  <c r="G12" i="41"/>
  <c r="G11" i="41"/>
  <c r="G10" i="41"/>
  <c r="G9" i="41"/>
  <c r="G8" i="41"/>
  <c r="G7" i="41"/>
  <c r="D18" i="41"/>
  <c r="E18" i="41"/>
  <c r="F18" i="41"/>
  <c r="E16" i="54"/>
  <c r="R10" i="43"/>
  <c r="Q9" i="43"/>
  <c r="P9" i="43"/>
  <c r="O9" i="43"/>
  <c r="O11" i="43"/>
  <c r="O10" i="43"/>
  <c r="N10" i="43"/>
  <c r="M10" i="43"/>
  <c r="M9" i="43" s="1"/>
  <c r="L11" i="43"/>
  <c r="K11" i="43"/>
  <c r="J17" i="43"/>
  <c r="J10" i="43"/>
  <c r="J9" i="43"/>
  <c r="N9" i="43" s="1"/>
  <c r="R9" i="43" s="1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AA9" i="43"/>
  <c r="F13" i="34" l="1"/>
  <c r="F10" i="34"/>
  <c r="AC20" i="40"/>
  <c r="AC18" i="40"/>
  <c r="AC19" i="40"/>
  <c r="D59" i="44"/>
  <c r="AC21" i="40" l="1"/>
  <c r="M37" i="17"/>
  <c r="O36" i="17"/>
  <c r="M36" i="17"/>
  <c r="M35" i="17"/>
  <c r="M34" i="17"/>
  <c r="M33" i="17"/>
  <c r="M32" i="17"/>
  <c r="M31" i="17"/>
  <c r="M30" i="17"/>
  <c r="O15" i="54"/>
  <c r="H8" i="32" l="1"/>
  <c r="H7" i="32"/>
  <c r="H6" i="32"/>
  <c r="G8" i="32"/>
  <c r="G7" i="32"/>
  <c r="G6" i="32"/>
  <c r="F9" i="18"/>
  <c r="O9" i="18"/>
  <c r="R9" i="18"/>
  <c r="Q9" i="18"/>
  <c r="P9" i="18"/>
  <c r="N9" i="18"/>
  <c r="M9" i="18"/>
  <c r="L9" i="18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Q25" i="57" l="1"/>
  <c r="Q31" i="57"/>
  <c r="Q30" i="57"/>
  <c r="Q29" i="57"/>
  <c r="Q28" i="57"/>
  <c r="Q27" i="57"/>
  <c r="Q24" i="57"/>
  <c r="Q23" i="57"/>
  <c r="Q21" i="57"/>
  <c r="Q17" i="57"/>
  <c r="Q16" i="57"/>
  <c r="Q15" i="57"/>
  <c r="Q14" i="57"/>
  <c r="Q13" i="57"/>
  <c r="Q11" i="57"/>
  <c r="Q9" i="57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C9" i="31"/>
  <c r="C25" i="27"/>
  <c r="F7" i="6"/>
  <c r="H7" i="6"/>
  <c r="J7" i="6"/>
  <c r="N6" i="26" l="1"/>
  <c r="L7" i="26"/>
  <c r="L6" i="26"/>
  <c r="K7" i="6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S6" i="2"/>
  <c r="L7" i="2"/>
  <c r="K7" i="2"/>
  <c r="R6" i="2"/>
  <c r="D12" i="56"/>
  <c r="K15" i="56" s="1"/>
  <c r="C12" i="56"/>
  <c r="G19" i="56" s="1"/>
  <c r="D22" i="56"/>
  <c r="D11" i="56" s="1"/>
  <c r="L22" i="56" s="1"/>
  <c r="L18" i="56" l="1"/>
  <c r="K17" i="56"/>
  <c r="K20" i="56"/>
  <c r="L15" i="56"/>
  <c r="K14" i="56"/>
  <c r="K16" i="56"/>
  <c r="K18" i="56"/>
  <c r="K21" i="56"/>
  <c r="L16" i="56"/>
  <c r="L14" i="56"/>
  <c r="K19" i="56"/>
  <c r="L17" i="56"/>
  <c r="L20" i="56"/>
  <c r="L21" i="56"/>
  <c r="G21" i="56"/>
  <c r="G14" i="56"/>
  <c r="G15" i="56"/>
  <c r="G20" i="56"/>
  <c r="G16" i="56"/>
  <c r="G17" i="56"/>
  <c r="G18" i="56"/>
  <c r="K12" i="56" l="1"/>
  <c r="L38" i="17"/>
  <c r="H10" i="6"/>
  <c r="D13" i="37"/>
  <c r="C35" i="17"/>
  <c r="N39" i="17"/>
  <c r="N38" i="17"/>
  <c r="I10" i="34"/>
  <c r="L8" i="3"/>
  <c r="C34" i="27"/>
  <c r="F8" i="27"/>
  <c r="G20" i="6"/>
  <c r="C20" i="6"/>
  <c r="I6" i="26" l="1"/>
  <c r="J6" i="26" s="1"/>
  <c r="D7" i="39"/>
  <c r="I6" i="3" l="1"/>
  <c r="J6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H5" i="3"/>
  <c r="E5" i="3"/>
  <c r="K17" i="6"/>
  <c r="K16" i="6"/>
  <c r="K15" i="6"/>
  <c r="K14" i="6"/>
  <c r="K13" i="6"/>
  <c r="K12" i="6"/>
  <c r="J11" i="27"/>
  <c r="I11" i="27"/>
  <c r="E25" i="27"/>
  <c r="M7" i="6"/>
  <c r="G6" i="55"/>
  <c r="J5" i="55"/>
  <c r="I5" i="55"/>
  <c r="G26" i="55"/>
  <c r="G25" i="55"/>
  <c r="G14" i="55"/>
  <c r="G13" i="55"/>
  <c r="G12" i="55"/>
  <c r="G11" i="55"/>
  <c r="G10" i="55"/>
  <c r="G9" i="55"/>
  <c r="G8" i="55"/>
  <c r="G7" i="55"/>
  <c r="F5" i="55"/>
  <c r="D5" i="55"/>
  <c r="C19" i="55"/>
  <c r="C12" i="55"/>
  <c r="E26" i="55"/>
  <c r="C25" i="55"/>
  <c r="C24" i="55"/>
  <c r="C23" i="55"/>
  <c r="C21" i="55"/>
  <c r="C20" i="55"/>
  <c r="C18" i="55"/>
  <c r="C17" i="55"/>
  <c r="C16" i="55"/>
  <c r="C15" i="55"/>
  <c r="C14" i="55"/>
  <c r="C13" i="55"/>
  <c r="C11" i="55"/>
  <c r="C10" i="55"/>
  <c r="C9" i="55"/>
  <c r="C8" i="55"/>
  <c r="C7" i="55"/>
  <c r="C6" i="55"/>
  <c r="O9" i="54"/>
  <c r="O8" i="3" l="1"/>
  <c r="C5" i="55"/>
  <c r="E5" i="55" s="1"/>
  <c r="P36" i="17"/>
  <c r="P35" i="17"/>
  <c r="O35" i="17"/>
  <c r="I11" i="40" l="1"/>
  <c r="I10" i="40"/>
  <c r="I9" i="40"/>
  <c r="L29" i="37"/>
  <c r="G27" i="37"/>
  <c r="G26" i="37"/>
  <c r="H31" i="37" s="1"/>
  <c r="E5" i="32"/>
  <c r="C7" i="27" l="1"/>
  <c r="L16" i="2"/>
  <c r="L15" i="2"/>
  <c r="L14" i="2"/>
  <c r="L13" i="2"/>
  <c r="L12" i="2"/>
  <c r="L11" i="2"/>
  <c r="L10" i="2"/>
  <c r="L9" i="2"/>
  <c r="L8" i="2"/>
  <c r="K10" i="2"/>
  <c r="K9" i="2"/>
  <c r="K8" i="2"/>
  <c r="K12" i="2"/>
  <c r="K11" i="2"/>
  <c r="O34" i="17"/>
  <c r="D31" i="37"/>
  <c r="C22" i="56" l="1"/>
  <c r="C11" i="56" s="1"/>
  <c r="H18" i="56" l="1"/>
  <c r="H21" i="56"/>
  <c r="H14" i="56"/>
  <c r="H15" i="56"/>
  <c r="H16" i="56"/>
  <c r="H17" i="56"/>
  <c r="H20" i="56"/>
  <c r="H19" i="56"/>
  <c r="F11" i="27"/>
  <c r="K8" i="37" l="1"/>
  <c r="F18" i="27"/>
  <c r="G11" i="31"/>
  <c r="F10" i="27"/>
  <c r="G44" i="34" l="1"/>
  <c r="H40" i="34" s="1"/>
  <c r="H43" i="34" l="1"/>
  <c r="H42" i="34"/>
  <c r="H41" i="34"/>
  <c r="H44" i="34" l="1"/>
  <c r="O14" i="56"/>
  <c r="N14" i="56"/>
  <c r="D9" i="56" l="1"/>
  <c r="L24" i="56"/>
  <c r="H23" i="56"/>
  <c r="C9" i="56"/>
  <c r="H12" i="56"/>
  <c r="L12" i="56"/>
  <c r="L19" i="56"/>
  <c r="H22" i="56"/>
  <c r="L23" i="56"/>
  <c r="H24" i="56"/>
  <c r="N15" i="56"/>
  <c r="O15" i="56"/>
  <c r="J22" i="56" l="1"/>
  <c r="J19" i="56"/>
  <c r="J14" i="56"/>
  <c r="J18" i="56"/>
  <c r="F25" i="56"/>
  <c r="F20" i="56"/>
  <c r="F16" i="56"/>
  <c r="F15" i="56"/>
  <c r="F22" i="56"/>
  <c r="F18" i="56"/>
  <c r="F21" i="56"/>
  <c r="F12" i="56"/>
  <c r="F14" i="56"/>
  <c r="F17" i="56"/>
  <c r="F19" i="56"/>
  <c r="J12" i="56"/>
  <c r="J25" i="56"/>
  <c r="J11" i="56"/>
  <c r="J15" i="56"/>
  <c r="J24" i="56"/>
  <c r="J20" i="56"/>
  <c r="J16" i="56"/>
  <c r="J21" i="56"/>
  <c r="J17" i="56"/>
  <c r="O13" i="56"/>
  <c r="J23" i="56"/>
  <c r="J10" i="56"/>
  <c r="O22" i="56"/>
  <c r="O20" i="56"/>
  <c r="O23" i="56"/>
  <c r="F23" i="56"/>
  <c r="N13" i="56"/>
  <c r="N22" i="56"/>
  <c r="N20" i="56"/>
  <c r="F24" i="56"/>
  <c r="N23" i="56"/>
  <c r="F10" i="56"/>
  <c r="F11" i="56"/>
  <c r="N19" i="56"/>
  <c r="O19" i="56"/>
  <c r="H11" i="56"/>
  <c r="N18" i="56"/>
  <c r="G12" i="56"/>
  <c r="L11" i="56"/>
  <c r="O18" i="56"/>
  <c r="O16" i="56" l="1"/>
  <c r="J9" i="56"/>
  <c r="F9" i="56"/>
  <c r="O24" i="56"/>
  <c r="O17" i="56"/>
  <c r="N17" i="56"/>
  <c r="N16" i="56"/>
  <c r="N24" i="56"/>
  <c r="E12" i="55" l="1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1" i="55"/>
  <c r="E10" i="55"/>
  <c r="E9" i="55"/>
  <c r="E8" i="55"/>
  <c r="E7" i="55"/>
  <c r="E6" i="55"/>
  <c r="G24" i="55"/>
  <c r="G23" i="55"/>
  <c r="G22" i="55"/>
  <c r="G21" i="55"/>
  <c r="G20" i="55"/>
  <c r="G19" i="55"/>
  <c r="G18" i="55"/>
  <c r="G17" i="55"/>
  <c r="G16" i="55"/>
  <c r="G15" i="55"/>
  <c r="P20" i="55" l="1"/>
  <c r="P8" i="55"/>
  <c r="O17" i="55"/>
  <c r="P19" i="55"/>
  <c r="P7" i="55"/>
  <c r="O16" i="55"/>
  <c r="P18" i="55"/>
  <c r="P6" i="55"/>
  <c r="O15" i="55"/>
  <c r="P17" i="55"/>
  <c r="O26" i="55"/>
  <c r="O14" i="55"/>
  <c r="P16" i="55"/>
  <c r="O25" i="55"/>
  <c r="O13" i="55"/>
  <c r="P15" i="55"/>
  <c r="O12" i="55"/>
  <c r="P13" i="55"/>
  <c r="O21" i="55"/>
  <c r="P11" i="55"/>
  <c r="O8" i="55"/>
  <c r="P22" i="55"/>
  <c r="O19" i="55"/>
  <c r="O6" i="55"/>
  <c r="P25" i="55"/>
  <c r="O22" i="55"/>
  <c r="O18" i="55"/>
  <c r="O24" i="55"/>
  <c r="P26" i="55"/>
  <c r="P14" i="55"/>
  <c r="O23" i="55"/>
  <c r="O11" i="55"/>
  <c r="O10" i="55"/>
  <c r="P24" i="55"/>
  <c r="P12" i="55"/>
  <c r="O9" i="55"/>
  <c r="P23" i="55"/>
  <c r="O20" i="55"/>
  <c r="O7" i="55"/>
  <c r="P10" i="55"/>
  <c r="P9" i="55"/>
  <c r="P21" i="55"/>
  <c r="R21" i="55"/>
  <c r="R9" i="55"/>
  <c r="Q23" i="55"/>
  <c r="Q11" i="55"/>
  <c r="R20" i="55"/>
  <c r="R8" i="55"/>
  <c r="Q22" i="55"/>
  <c r="Q10" i="55"/>
  <c r="R19" i="55"/>
  <c r="R7" i="55"/>
  <c r="Q21" i="55"/>
  <c r="Q9" i="55"/>
  <c r="R18" i="55"/>
  <c r="R6" i="55"/>
  <c r="Q20" i="55"/>
  <c r="Q8" i="55"/>
  <c r="R17" i="55"/>
  <c r="R22" i="55"/>
  <c r="Q19" i="55"/>
  <c r="Q7" i="55"/>
  <c r="R16" i="55"/>
  <c r="R24" i="55"/>
  <c r="Q18" i="55"/>
  <c r="Q6" i="55"/>
  <c r="R26" i="55"/>
  <c r="R12" i="55"/>
  <c r="Q14" i="55"/>
  <c r="R10" i="55"/>
  <c r="R13" i="55"/>
  <c r="Q12" i="55"/>
  <c r="Q15" i="55"/>
  <c r="Q24" i="55"/>
  <c r="Q25" i="55"/>
  <c r="R15" i="55"/>
  <c r="R23" i="55"/>
  <c r="Q17" i="55"/>
  <c r="R25" i="55"/>
  <c r="Q16" i="55"/>
  <c r="Q26" i="55"/>
  <c r="R11" i="55"/>
  <c r="R14" i="55"/>
  <c r="Q13" i="55"/>
  <c r="K18" i="12"/>
  <c r="C5" i="12"/>
  <c r="C18" i="12"/>
  <c r="M18" i="12"/>
  <c r="E18" i="12"/>
  <c r="E5" i="12"/>
  <c r="F11" i="12" l="1"/>
  <c r="F9" i="12"/>
  <c r="F8" i="12"/>
  <c r="F7" i="12"/>
  <c r="F10" i="12"/>
  <c r="F12" i="12"/>
  <c r="D12" i="12"/>
  <c r="D11" i="12"/>
  <c r="D10" i="12"/>
  <c r="D9" i="12"/>
  <c r="D8" i="12"/>
  <c r="D7" i="12"/>
  <c r="F5" i="12" l="1"/>
  <c r="T14" i="43"/>
  <c r="AA13" i="43"/>
  <c r="O33" i="17" l="1"/>
  <c r="O32" i="17"/>
  <c r="C7" i="46" l="1"/>
  <c r="J9" i="40" l="1"/>
  <c r="D5" i="32"/>
  <c r="C5" i="32"/>
  <c r="G5" i="32" l="1"/>
  <c r="H5" i="32"/>
  <c r="K9" i="40"/>
  <c r="E6" i="26"/>
  <c r="E7" i="26"/>
  <c r="E8" i="26"/>
  <c r="H8" i="26"/>
  <c r="F13" i="37" l="1"/>
  <c r="G38" i="34" l="1"/>
  <c r="F7" i="39"/>
  <c r="G7" i="39"/>
  <c r="I7" i="39"/>
  <c r="C43" i="39" s="1"/>
  <c r="D43" i="39" s="1"/>
  <c r="J7" i="39"/>
  <c r="P33" i="17"/>
  <c r="P34" i="17"/>
  <c r="D32" i="37"/>
  <c r="I29" i="37"/>
  <c r="L26" i="3" l="1"/>
  <c r="L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M18" i="3"/>
  <c r="L19" i="3"/>
  <c r="M19" i="3"/>
  <c r="L20" i="3"/>
  <c r="M20" i="3"/>
  <c r="L21" i="3"/>
  <c r="M21" i="3"/>
  <c r="L22" i="3"/>
  <c r="M22" i="3"/>
  <c r="L23" i="3"/>
  <c r="M23" i="3"/>
  <c r="M24" i="3"/>
  <c r="L25" i="3"/>
  <c r="M25" i="3"/>
  <c r="M26" i="3"/>
  <c r="L27" i="3"/>
  <c r="M27" i="3"/>
  <c r="L28" i="3"/>
  <c r="M28" i="3"/>
  <c r="E34" i="27"/>
  <c r="F25" i="27"/>
  <c r="E19" i="6"/>
  <c r="I12" i="34" l="1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1" i="34"/>
  <c r="J10" i="34" l="1"/>
  <c r="K10" i="34"/>
  <c r="J12" i="34"/>
  <c r="J16" i="34"/>
  <c r="J20" i="34"/>
  <c r="J24" i="34"/>
  <c r="J28" i="34"/>
  <c r="J13" i="34"/>
  <c r="J17" i="34"/>
  <c r="J21" i="34"/>
  <c r="J25" i="34"/>
  <c r="J29" i="34"/>
  <c r="J14" i="34"/>
  <c r="J18" i="34"/>
  <c r="J22" i="34"/>
  <c r="J26" i="34"/>
  <c r="J30" i="34"/>
  <c r="J11" i="34"/>
  <c r="J15" i="34"/>
  <c r="J19" i="34"/>
  <c r="J23" i="34"/>
  <c r="J27" i="34"/>
  <c r="E8" i="34"/>
  <c r="F29" i="34"/>
  <c r="F30" i="34"/>
  <c r="F26" i="34"/>
  <c r="F22" i="34"/>
  <c r="F18" i="34"/>
  <c r="F14" i="34"/>
  <c r="F31" i="34" l="1"/>
  <c r="F15" i="34"/>
  <c r="F8" i="34" s="1"/>
  <c r="F19" i="34"/>
  <c r="F23" i="34"/>
  <c r="F27" i="34"/>
  <c r="F16" i="34"/>
  <c r="K12" i="34" s="1"/>
  <c r="F20" i="34"/>
  <c r="F24" i="34"/>
  <c r="K14" i="34" s="1"/>
  <c r="F28" i="34"/>
  <c r="K29" i="34"/>
  <c r="F17" i="34"/>
  <c r="F21" i="34"/>
  <c r="F25" i="34"/>
  <c r="P12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K27" i="34" l="1"/>
  <c r="K20" i="34"/>
  <c r="K22" i="34"/>
  <c r="K19" i="34"/>
  <c r="K21" i="34"/>
  <c r="K13" i="34"/>
  <c r="K26" i="34"/>
  <c r="K16" i="34"/>
  <c r="K23" i="34"/>
  <c r="K28" i="34"/>
  <c r="K15" i="34"/>
  <c r="K30" i="34"/>
  <c r="K25" i="34"/>
  <c r="K18" i="34"/>
  <c r="K11" i="34"/>
  <c r="K24" i="34"/>
  <c r="K17" i="34"/>
  <c r="O16" i="54"/>
  <c r="D19" i="41"/>
  <c r="D8" i="40"/>
  <c r="H11" i="37"/>
  <c r="D11" i="37"/>
  <c r="D12" i="37"/>
  <c r="D14" i="37"/>
  <c r="D15" i="37"/>
  <c r="D16" i="37"/>
  <c r="D17" i="37"/>
  <c r="D18" i="37"/>
  <c r="I9" i="26"/>
  <c r="J9" i="26" s="1"/>
  <c r="I8" i="26"/>
  <c r="J8" i="26" s="1"/>
  <c r="I7" i="26"/>
  <c r="J7" i="26" s="1"/>
  <c r="H9" i="26"/>
  <c r="H7" i="26"/>
  <c r="E9" i="26"/>
  <c r="G20" i="41" l="1"/>
  <c r="C19" i="6" l="1"/>
  <c r="E35" i="28" l="1"/>
  <c r="C7" i="2"/>
  <c r="G8" i="31"/>
  <c r="G7" i="31"/>
  <c r="D20" i="41" l="1"/>
  <c r="E20" i="41"/>
  <c r="F20" i="41"/>
  <c r="K16" i="39"/>
  <c r="F35" i="32"/>
  <c r="D35" i="32"/>
  <c r="C35" i="32"/>
  <c r="E35" i="32"/>
  <c r="D8" i="27" l="1"/>
  <c r="F47" i="44" l="1"/>
  <c r="K14" i="37" l="1"/>
  <c r="P13" i="37" l="1"/>
  <c r="F55" i="42" l="1"/>
  <c r="G58" i="42" s="1"/>
  <c r="F48" i="42"/>
  <c r="G51" i="42" s="1"/>
  <c r="F44" i="42"/>
  <c r="G47" i="42" s="1"/>
  <c r="F38" i="42"/>
  <c r="G41" i="42" s="1"/>
  <c r="F34" i="42"/>
  <c r="G37" i="42" s="1"/>
  <c r="F29" i="42"/>
  <c r="G31" i="42" s="1"/>
  <c r="F24" i="42"/>
  <c r="G28" i="42" s="1"/>
  <c r="F18" i="42"/>
  <c r="G21" i="42" s="1"/>
  <c r="F11" i="42"/>
  <c r="G14" i="42" s="1"/>
  <c r="F6" i="42"/>
  <c r="F54" i="44"/>
  <c r="G53" i="44"/>
  <c r="F43" i="44"/>
  <c r="F37" i="44"/>
  <c r="G39" i="44" s="1"/>
  <c r="F33" i="44"/>
  <c r="G36" i="44" s="1"/>
  <c r="F28" i="44"/>
  <c r="G32" i="44" s="1"/>
  <c r="F23" i="44"/>
  <c r="G26" i="44" s="1"/>
  <c r="F17" i="44"/>
  <c r="G19" i="44" s="1"/>
  <c r="F10" i="44"/>
  <c r="F5" i="44"/>
  <c r="G8" i="44" s="1"/>
  <c r="G46" i="44" l="1"/>
  <c r="F59" i="44"/>
  <c r="F65" i="42"/>
  <c r="G43" i="42"/>
  <c r="G30" i="42"/>
  <c r="G33" i="42"/>
  <c r="G20" i="42"/>
  <c r="G23" i="42"/>
  <c r="G16" i="42"/>
  <c r="G7" i="42"/>
  <c r="G9" i="44"/>
  <c r="F60" i="44"/>
  <c r="G58" i="44" s="1"/>
  <c r="G29" i="44"/>
  <c r="G30" i="44"/>
  <c r="G27" i="44"/>
  <c r="G6" i="44"/>
  <c r="G7" i="44"/>
  <c r="G56" i="42"/>
  <c r="G57" i="42"/>
  <c r="G54" i="42"/>
  <c r="G49" i="42"/>
  <c r="G50" i="42"/>
  <c r="G53" i="42"/>
  <c r="G39" i="42"/>
  <c r="G40" i="42"/>
  <c r="G19" i="42"/>
  <c r="G17" i="42"/>
  <c r="G12" i="42"/>
  <c r="G13" i="42"/>
  <c r="G8" i="42"/>
  <c r="G15" i="42"/>
  <c r="G22" i="42"/>
  <c r="G25" i="42"/>
  <c r="G32" i="42"/>
  <c r="G35" i="42"/>
  <c r="G42" i="42"/>
  <c r="G45" i="42"/>
  <c r="G52" i="42"/>
  <c r="G26" i="42"/>
  <c r="G36" i="42"/>
  <c r="G46" i="42"/>
  <c r="F60" i="42"/>
  <c r="G10" i="42"/>
  <c r="G27" i="42"/>
  <c r="G9" i="42"/>
  <c r="G13" i="44"/>
  <c r="G20" i="44"/>
  <c r="G50" i="44"/>
  <c r="G14" i="44"/>
  <c r="G21" i="44"/>
  <c r="G24" i="44"/>
  <c r="G31" i="44"/>
  <c r="G34" i="44"/>
  <c r="G41" i="44"/>
  <c r="G44" i="44"/>
  <c r="G51" i="44"/>
  <c r="G11" i="44"/>
  <c r="G15" i="44"/>
  <c r="G18" i="44"/>
  <c r="G22" i="44"/>
  <c r="G25" i="44"/>
  <c r="G35" i="44"/>
  <c r="G38" i="44"/>
  <c r="G42" i="44"/>
  <c r="G45" i="44"/>
  <c r="G48" i="44"/>
  <c r="G52" i="44"/>
  <c r="G40" i="44"/>
  <c r="G12" i="44"/>
  <c r="G16" i="44"/>
  <c r="G49" i="44"/>
  <c r="S33" i="54"/>
  <c r="R33" i="54"/>
  <c r="S32" i="54"/>
  <c r="R32" i="54"/>
  <c r="S31" i="54"/>
  <c r="R31" i="54"/>
  <c r="S30" i="54"/>
  <c r="R30" i="54"/>
  <c r="S29" i="54"/>
  <c r="R29" i="54"/>
  <c r="S28" i="54"/>
  <c r="R28" i="54"/>
  <c r="S27" i="54"/>
  <c r="R27" i="54"/>
  <c r="S26" i="54"/>
  <c r="R26" i="54"/>
  <c r="S25" i="54"/>
  <c r="R25" i="54"/>
  <c r="S24" i="54"/>
  <c r="R24" i="54"/>
  <c r="S23" i="54"/>
  <c r="R23" i="54"/>
  <c r="S22" i="54"/>
  <c r="R22" i="54"/>
  <c r="S21" i="54"/>
  <c r="R21" i="54"/>
  <c r="S20" i="54"/>
  <c r="R20" i="54"/>
  <c r="S19" i="54"/>
  <c r="R19" i="54"/>
  <c r="S18" i="54"/>
  <c r="R18" i="54"/>
  <c r="S17" i="54"/>
  <c r="R17" i="54"/>
  <c r="S16" i="54"/>
  <c r="R16" i="54"/>
  <c r="S15" i="54"/>
  <c r="R15" i="54"/>
  <c r="S14" i="54"/>
  <c r="R14" i="54"/>
  <c r="S13" i="54"/>
  <c r="R13" i="54"/>
  <c r="S12" i="54"/>
  <c r="R12" i="54"/>
  <c r="S11" i="54"/>
  <c r="R11" i="54"/>
  <c r="S10" i="54"/>
  <c r="R10" i="54"/>
  <c r="I46" i="54" s="1"/>
  <c r="J46" i="54" s="1"/>
  <c r="S9" i="54"/>
  <c r="R9" i="54"/>
  <c r="I45" i="54" s="1"/>
  <c r="J45" i="54" s="1"/>
  <c r="P33" i="54"/>
  <c r="O33" i="54"/>
  <c r="P32" i="54"/>
  <c r="O32" i="54"/>
  <c r="P31" i="54"/>
  <c r="O31" i="54"/>
  <c r="P30" i="54"/>
  <c r="O30" i="54"/>
  <c r="P29" i="54"/>
  <c r="O29" i="54"/>
  <c r="P28" i="54"/>
  <c r="O28" i="54"/>
  <c r="P27" i="54"/>
  <c r="O27" i="54"/>
  <c r="P26" i="54"/>
  <c r="O26" i="54"/>
  <c r="P25" i="54"/>
  <c r="O25" i="54"/>
  <c r="P24" i="54"/>
  <c r="O24" i="54"/>
  <c r="P23" i="54"/>
  <c r="O23" i="54"/>
  <c r="P22" i="54"/>
  <c r="O22" i="54"/>
  <c r="P21" i="54"/>
  <c r="O21" i="54"/>
  <c r="P20" i="54"/>
  <c r="O20" i="54"/>
  <c r="P19" i="54"/>
  <c r="O19" i="54"/>
  <c r="P18" i="54"/>
  <c r="O18" i="54"/>
  <c r="P17" i="54"/>
  <c r="O17" i="54"/>
  <c r="P16" i="54"/>
  <c r="P15" i="54"/>
  <c r="P14" i="54"/>
  <c r="O14" i="54"/>
  <c r="P13" i="54"/>
  <c r="O13" i="54"/>
  <c r="P12" i="54"/>
  <c r="O12" i="54"/>
  <c r="P11" i="54"/>
  <c r="O11" i="54"/>
  <c r="P10" i="54"/>
  <c r="O10" i="54"/>
  <c r="P9" i="54"/>
  <c r="E45" i="54" l="1"/>
  <c r="F45" i="54" s="1"/>
  <c r="C45" i="54"/>
  <c r="D45" i="54" s="1"/>
  <c r="G47" i="44"/>
  <c r="G10" i="44"/>
  <c r="G23" i="44"/>
  <c r="G33" i="44"/>
  <c r="G28" i="44"/>
  <c r="G43" i="44"/>
  <c r="G54" i="44"/>
  <c r="G5" i="44"/>
  <c r="G17" i="44"/>
  <c r="F61" i="42"/>
  <c r="G59" i="42" s="1"/>
  <c r="G44" i="42"/>
  <c r="G34" i="42"/>
  <c r="G24" i="42"/>
  <c r="G29" i="42"/>
  <c r="G55" i="42"/>
  <c r="G48" i="42"/>
  <c r="G38" i="42"/>
  <c r="G18" i="42"/>
  <c r="G6" i="42"/>
  <c r="G11" i="42"/>
  <c r="P32" i="17"/>
  <c r="F8" i="40"/>
  <c r="V18" i="40" s="1"/>
  <c r="H29" i="37" l="1"/>
  <c r="K26" i="37"/>
  <c r="G59" i="44"/>
  <c r="G60" i="42"/>
  <c r="F9" i="28" l="1"/>
  <c r="K15" i="2" l="1"/>
  <c r="K14" i="2"/>
  <c r="D7" i="46" l="1"/>
  <c r="E7" i="46"/>
  <c r="O18" i="17" l="1"/>
  <c r="F27" i="27" l="1"/>
  <c r="I32" i="37" l="1"/>
  <c r="M32" i="37" s="1"/>
  <c r="N32" i="37" s="1"/>
  <c r="I69" i="54"/>
  <c r="J69" i="54" s="1"/>
  <c r="I68" i="54"/>
  <c r="J68" i="54" s="1"/>
  <c r="I67" i="54"/>
  <c r="J67" i="54" s="1"/>
  <c r="I66" i="54"/>
  <c r="J66" i="54" s="1"/>
  <c r="I65" i="54"/>
  <c r="J65" i="54" s="1"/>
  <c r="I64" i="54"/>
  <c r="J64" i="54" s="1"/>
  <c r="I63" i="54"/>
  <c r="J63" i="54" s="1"/>
  <c r="I62" i="54"/>
  <c r="J62" i="54" s="1"/>
  <c r="I61" i="54"/>
  <c r="J61" i="54" s="1"/>
  <c r="I60" i="54"/>
  <c r="J60" i="54" s="1"/>
  <c r="I59" i="54"/>
  <c r="J59" i="54" s="1"/>
  <c r="I58" i="54"/>
  <c r="J58" i="54" s="1"/>
  <c r="I57" i="54"/>
  <c r="J57" i="54" s="1"/>
  <c r="I56" i="54"/>
  <c r="J56" i="54" s="1"/>
  <c r="I55" i="54"/>
  <c r="J55" i="54" s="1"/>
  <c r="I54" i="54"/>
  <c r="J54" i="54" s="1"/>
  <c r="I53" i="54"/>
  <c r="J53" i="54" s="1"/>
  <c r="I52" i="54"/>
  <c r="J52" i="54" s="1"/>
  <c r="I51" i="54"/>
  <c r="J51" i="54" s="1"/>
  <c r="I50" i="54"/>
  <c r="J50" i="54" s="1"/>
  <c r="I49" i="54"/>
  <c r="J49" i="54" s="1"/>
  <c r="I48" i="54"/>
  <c r="J48" i="54" s="1"/>
  <c r="I47" i="54"/>
  <c r="J47" i="54" s="1"/>
  <c r="G69" i="54"/>
  <c r="H69" i="54" s="1"/>
  <c r="G68" i="54"/>
  <c r="H68" i="54" s="1"/>
  <c r="G67" i="54"/>
  <c r="H67" i="54" s="1"/>
  <c r="G66" i="54"/>
  <c r="H66" i="54" s="1"/>
  <c r="G65" i="54"/>
  <c r="H65" i="54" s="1"/>
  <c r="G64" i="54"/>
  <c r="H64" i="54" s="1"/>
  <c r="G63" i="54"/>
  <c r="H63" i="54" s="1"/>
  <c r="G62" i="54"/>
  <c r="H62" i="54" s="1"/>
  <c r="G61" i="54"/>
  <c r="H61" i="54" s="1"/>
  <c r="G60" i="54"/>
  <c r="H60" i="54" s="1"/>
  <c r="G59" i="54"/>
  <c r="H59" i="54" s="1"/>
  <c r="G58" i="54"/>
  <c r="H58" i="54" s="1"/>
  <c r="G57" i="54"/>
  <c r="H57" i="54" s="1"/>
  <c r="G56" i="54"/>
  <c r="H56" i="54" s="1"/>
  <c r="G55" i="54"/>
  <c r="H55" i="54" s="1"/>
  <c r="G54" i="54"/>
  <c r="H54" i="54" s="1"/>
  <c r="G53" i="54"/>
  <c r="H53" i="54" s="1"/>
  <c r="G52" i="54"/>
  <c r="H52" i="54" s="1"/>
  <c r="G51" i="54"/>
  <c r="H51" i="54" s="1"/>
  <c r="G50" i="54"/>
  <c r="H50" i="54" s="1"/>
  <c r="G49" i="54"/>
  <c r="H49" i="54" s="1"/>
  <c r="G48" i="54"/>
  <c r="H48" i="54" s="1"/>
  <c r="G47" i="54"/>
  <c r="H47" i="54" s="1"/>
  <c r="G46" i="54"/>
  <c r="H46" i="54" s="1"/>
  <c r="G45" i="54"/>
  <c r="H45" i="54" s="1"/>
  <c r="E69" i="54"/>
  <c r="F69" i="54" s="1"/>
  <c r="E68" i="54"/>
  <c r="F68" i="54" s="1"/>
  <c r="E67" i="54"/>
  <c r="F67" i="54" s="1"/>
  <c r="E66" i="54"/>
  <c r="F66" i="54" s="1"/>
  <c r="E65" i="54"/>
  <c r="F65" i="54" s="1"/>
  <c r="E64" i="54"/>
  <c r="F64" i="54" s="1"/>
  <c r="E63" i="54"/>
  <c r="F63" i="54" s="1"/>
  <c r="E62" i="54"/>
  <c r="F62" i="54" s="1"/>
  <c r="E61" i="54"/>
  <c r="F61" i="54" s="1"/>
  <c r="E60" i="54"/>
  <c r="F60" i="54" s="1"/>
  <c r="E59" i="54"/>
  <c r="F59" i="54" s="1"/>
  <c r="E58" i="54"/>
  <c r="F58" i="54" s="1"/>
  <c r="E57" i="54"/>
  <c r="F57" i="54" s="1"/>
  <c r="E56" i="54"/>
  <c r="F56" i="54" s="1"/>
  <c r="E55" i="54"/>
  <c r="F55" i="54" s="1"/>
  <c r="E54" i="54"/>
  <c r="F54" i="54" s="1"/>
  <c r="E53" i="54"/>
  <c r="F53" i="54" s="1"/>
  <c r="E52" i="54"/>
  <c r="F52" i="54" s="1"/>
  <c r="E51" i="54"/>
  <c r="F51" i="54" s="1"/>
  <c r="E50" i="54"/>
  <c r="F50" i="54" s="1"/>
  <c r="E49" i="54"/>
  <c r="F49" i="54" s="1"/>
  <c r="E48" i="54"/>
  <c r="F48" i="54" s="1"/>
  <c r="E47" i="54"/>
  <c r="F47" i="54" s="1"/>
  <c r="E46" i="54"/>
  <c r="F46" i="54" s="1"/>
  <c r="C69" i="54"/>
  <c r="D69" i="54" s="1"/>
  <c r="C68" i="54"/>
  <c r="D68" i="54" s="1"/>
  <c r="C67" i="54"/>
  <c r="D67" i="54" s="1"/>
  <c r="C66" i="54"/>
  <c r="D66" i="54" s="1"/>
  <c r="C65" i="54"/>
  <c r="D65" i="54" s="1"/>
  <c r="C64" i="54"/>
  <c r="D64" i="54" s="1"/>
  <c r="C63" i="54"/>
  <c r="D63" i="54" s="1"/>
  <c r="C62" i="54"/>
  <c r="D62" i="54" s="1"/>
  <c r="C61" i="54"/>
  <c r="D61" i="54" s="1"/>
  <c r="C60" i="54"/>
  <c r="D60" i="54" s="1"/>
  <c r="C59" i="54"/>
  <c r="D59" i="54" s="1"/>
  <c r="C58" i="54"/>
  <c r="D58" i="54" s="1"/>
  <c r="C57" i="54"/>
  <c r="D57" i="54" s="1"/>
  <c r="C56" i="54"/>
  <c r="D56" i="54" s="1"/>
  <c r="C55" i="54"/>
  <c r="D55" i="54" s="1"/>
  <c r="C54" i="54"/>
  <c r="D54" i="54" s="1"/>
  <c r="C53" i="54"/>
  <c r="D53" i="54" s="1"/>
  <c r="C52" i="54"/>
  <c r="D52" i="54" s="1"/>
  <c r="C51" i="54"/>
  <c r="D51" i="54" s="1"/>
  <c r="C50" i="54"/>
  <c r="D50" i="54" s="1"/>
  <c r="C49" i="54"/>
  <c r="D49" i="54" s="1"/>
  <c r="C48" i="54"/>
  <c r="D48" i="54" s="1"/>
  <c r="C47" i="54"/>
  <c r="D47" i="54" s="1"/>
  <c r="C46" i="54"/>
  <c r="D46" i="54" s="1"/>
  <c r="T33" i="54"/>
  <c r="Q33" i="54"/>
  <c r="T32" i="54"/>
  <c r="Q32" i="54"/>
  <c r="T31" i="54"/>
  <c r="Q31" i="54"/>
  <c r="T30" i="54"/>
  <c r="Q30" i="54"/>
  <c r="T29" i="54"/>
  <c r="Q29" i="54"/>
  <c r="T28" i="54"/>
  <c r="Q28" i="54"/>
  <c r="T27" i="54"/>
  <c r="Q27" i="54"/>
  <c r="T26" i="54"/>
  <c r="Q26" i="54"/>
  <c r="T25" i="54"/>
  <c r="Q25" i="54"/>
  <c r="T24" i="54"/>
  <c r="Q24" i="54"/>
  <c r="T23" i="54"/>
  <c r="Q23" i="54"/>
  <c r="T22" i="54"/>
  <c r="Q22" i="54"/>
  <c r="T21" i="54"/>
  <c r="Q21" i="54"/>
  <c r="T20" i="54"/>
  <c r="Q20" i="54"/>
  <c r="T19" i="54"/>
  <c r="Q19" i="54"/>
  <c r="T18" i="54"/>
  <c r="Q18" i="54"/>
  <c r="T17" i="54"/>
  <c r="Q17" i="54"/>
  <c r="T16" i="54"/>
  <c r="Q16" i="54"/>
  <c r="T15" i="54"/>
  <c r="Q15" i="54"/>
  <c r="T14" i="54"/>
  <c r="Q14" i="54"/>
  <c r="T13" i="54"/>
  <c r="Q13" i="54"/>
  <c r="T12" i="54"/>
  <c r="Q12" i="54"/>
  <c r="T11" i="54"/>
  <c r="Q11" i="54"/>
  <c r="T10" i="54"/>
  <c r="Q10" i="54"/>
  <c r="T9" i="54"/>
  <c r="Q9" i="54"/>
  <c r="S8" i="54"/>
  <c r="R8" i="54"/>
  <c r="P8" i="54"/>
  <c r="O8" i="54"/>
  <c r="C44" i="54" s="1"/>
  <c r="N33" i="54"/>
  <c r="K33" i="54"/>
  <c r="N32" i="54"/>
  <c r="K32" i="54"/>
  <c r="N31" i="54"/>
  <c r="K31" i="54"/>
  <c r="N30" i="54"/>
  <c r="K30" i="54"/>
  <c r="N29" i="54"/>
  <c r="K29" i="54"/>
  <c r="N28" i="54"/>
  <c r="K28" i="54"/>
  <c r="N27" i="54"/>
  <c r="K27" i="54"/>
  <c r="N26" i="54"/>
  <c r="K26" i="54"/>
  <c r="N25" i="54"/>
  <c r="K25" i="54"/>
  <c r="N24" i="54"/>
  <c r="K24" i="54"/>
  <c r="N23" i="54"/>
  <c r="K23" i="54"/>
  <c r="N22" i="54"/>
  <c r="K22" i="54"/>
  <c r="N21" i="54"/>
  <c r="K21" i="54"/>
  <c r="N20" i="54"/>
  <c r="K20" i="54"/>
  <c r="N19" i="54"/>
  <c r="K19" i="54"/>
  <c r="N18" i="54"/>
  <c r="K18" i="54"/>
  <c r="N17" i="54"/>
  <c r="K17" i="54"/>
  <c r="N16" i="54"/>
  <c r="K16" i="54"/>
  <c r="N15" i="54"/>
  <c r="K15" i="54"/>
  <c r="N14" i="54"/>
  <c r="K14" i="54"/>
  <c r="N13" i="54"/>
  <c r="K13" i="54"/>
  <c r="N12" i="54"/>
  <c r="K12" i="54"/>
  <c r="N11" i="54"/>
  <c r="K11" i="54"/>
  <c r="N10" i="54"/>
  <c r="K10" i="54"/>
  <c r="N9" i="54"/>
  <c r="K9" i="54"/>
  <c r="M8" i="54"/>
  <c r="L8" i="54"/>
  <c r="J8" i="54"/>
  <c r="I8" i="54"/>
  <c r="H33" i="54"/>
  <c r="E33" i="54"/>
  <c r="H32" i="54"/>
  <c r="E32" i="54"/>
  <c r="H31" i="54"/>
  <c r="E31" i="54"/>
  <c r="H30" i="54"/>
  <c r="E30" i="54"/>
  <c r="H29" i="54"/>
  <c r="E29" i="54"/>
  <c r="H28" i="54"/>
  <c r="E28" i="54"/>
  <c r="H27" i="54"/>
  <c r="E27" i="54"/>
  <c r="H26" i="54"/>
  <c r="E26" i="54"/>
  <c r="H25" i="54"/>
  <c r="E25" i="54"/>
  <c r="H24" i="54"/>
  <c r="E24" i="54"/>
  <c r="H23" i="54"/>
  <c r="E23" i="54"/>
  <c r="H22" i="54"/>
  <c r="E22" i="54"/>
  <c r="H21" i="54"/>
  <c r="E21" i="54"/>
  <c r="H20" i="54"/>
  <c r="E20" i="54"/>
  <c r="H19" i="54"/>
  <c r="E19" i="54"/>
  <c r="H18" i="54"/>
  <c r="E18" i="54"/>
  <c r="H17" i="54"/>
  <c r="E17" i="54"/>
  <c r="H16" i="54"/>
  <c r="H15" i="54"/>
  <c r="E15" i="54"/>
  <c r="H14" i="54"/>
  <c r="E14" i="54"/>
  <c r="H13" i="54"/>
  <c r="E13" i="54"/>
  <c r="H12" i="54"/>
  <c r="E12" i="54"/>
  <c r="H11" i="54"/>
  <c r="E11" i="54"/>
  <c r="H10" i="54"/>
  <c r="E10" i="54"/>
  <c r="H9" i="54"/>
  <c r="E9" i="54"/>
  <c r="G8" i="54"/>
  <c r="F8" i="54"/>
  <c r="D8" i="54"/>
  <c r="C8" i="54"/>
  <c r="K11" i="37"/>
  <c r="L11" i="37" s="1"/>
  <c r="E44" i="39"/>
  <c r="F44" i="39" s="1"/>
  <c r="E68" i="39"/>
  <c r="F68" i="39" s="1"/>
  <c r="E67" i="39"/>
  <c r="F67" i="39" s="1"/>
  <c r="E66" i="39"/>
  <c r="F66" i="39" s="1"/>
  <c r="E65" i="39"/>
  <c r="F65" i="39" s="1"/>
  <c r="E64" i="39"/>
  <c r="F64" i="39" s="1"/>
  <c r="E63" i="39"/>
  <c r="F63" i="39" s="1"/>
  <c r="E62" i="39"/>
  <c r="F62" i="39" s="1"/>
  <c r="E61" i="39"/>
  <c r="F61" i="39" s="1"/>
  <c r="E60" i="39"/>
  <c r="F60" i="39" s="1"/>
  <c r="E59" i="39"/>
  <c r="F59" i="39" s="1"/>
  <c r="E58" i="39"/>
  <c r="F58" i="39" s="1"/>
  <c r="E57" i="39"/>
  <c r="F57" i="39" s="1"/>
  <c r="E56" i="39"/>
  <c r="F56" i="39" s="1"/>
  <c r="E55" i="39"/>
  <c r="F55" i="39" s="1"/>
  <c r="E54" i="39"/>
  <c r="F54" i="39" s="1"/>
  <c r="E53" i="39"/>
  <c r="F53" i="39" s="1"/>
  <c r="E52" i="39"/>
  <c r="F52" i="39" s="1"/>
  <c r="E51" i="39"/>
  <c r="F51" i="39" s="1"/>
  <c r="E50" i="39"/>
  <c r="F50" i="39" s="1"/>
  <c r="E49" i="39"/>
  <c r="F49" i="39" s="1"/>
  <c r="E48" i="39"/>
  <c r="F48" i="39" s="1"/>
  <c r="E47" i="39"/>
  <c r="F47" i="39" s="1"/>
  <c r="E46" i="39"/>
  <c r="F46" i="39" s="1"/>
  <c r="E45" i="39"/>
  <c r="F45" i="39" s="1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C7" i="39"/>
  <c r="E43" i="39" l="1"/>
  <c r="F43" i="39" s="1"/>
  <c r="I44" i="54"/>
  <c r="J44" i="54" s="1"/>
  <c r="G44" i="54"/>
  <c r="H44" i="54" s="1"/>
  <c r="E44" i="54"/>
  <c r="F44" i="54" s="1"/>
  <c r="D44" i="54"/>
  <c r="Q8" i="54"/>
  <c r="K8" i="54"/>
  <c r="T8" i="54"/>
  <c r="N8" i="54"/>
  <c r="H8" i="54"/>
  <c r="E8" i="54"/>
  <c r="G15" i="32" l="1"/>
  <c r="G14" i="32"/>
  <c r="O32" i="29"/>
  <c r="O31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I9" i="18" l="1"/>
  <c r="H9" i="18"/>
  <c r="G9" i="18"/>
  <c r="E9" i="18"/>
  <c r="D9" i="18"/>
  <c r="C9" i="18"/>
  <c r="D54" i="44"/>
  <c r="D47" i="44"/>
  <c r="E51" i="44" s="1"/>
  <c r="D43" i="44"/>
  <c r="E46" i="44" s="1"/>
  <c r="D37" i="44"/>
  <c r="E42" i="44" s="1"/>
  <c r="D33" i="44"/>
  <c r="E34" i="44" s="1"/>
  <c r="D28" i="44"/>
  <c r="E30" i="44" s="1"/>
  <c r="D23" i="44"/>
  <c r="E26" i="44" s="1"/>
  <c r="D17" i="44"/>
  <c r="E22" i="44" s="1"/>
  <c r="D10" i="44"/>
  <c r="E14" i="44" s="1"/>
  <c r="D5" i="44"/>
  <c r="AA34" i="43"/>
  <c r="T34" i="43"/>
  <c r="M34" i="43"/>
  <c r="Q34" i="43" s="1"/>
  <c r="L34" i="43"/>
  <c r="P34" i="43" s="1"/>
  <c r="K34" i="43"/>
  <c r="O34" i="43" s="1"/>
  <c r="AA33" i="43"/>
  <c r="T33" i="43"/>
  <c r="M33" i="43"/>
  <c r="Q33" i="43" s="1"/>
  <c r="L33" i="43"/>
  <c r="P33" i="43" s="1"/>
  <c r="AA32" i="43"/>
  <c r="T32" i="43"/>
  <c r="M32" i="43"/>
  <c r="Q32" i="43" s="1"/>
  <c r="L32" i="43"/>
  <c r="P32" i="43" s="1"/>
  <c r="K32" i="43"/>
  <c r="O32" i="43" s="1"/>
  <c r="AA31" i="43"/>
  <c r="T31" i="43"/>
  <c r="J31" i="43" s="1"/>
  <c r="M31" i="43"/>
  <c r="Q31" i="43" s="1"/>
  <c r="L31" i="43"/>
  <c r="P31" i="43" s="1"/>
  <c r="K31" i="43"/>
  <c r="O31" i="43" s="1"/>
  <c r="AA30" i="43"/>
  <c r="T30" i="43"/>
  <c r="M30" i="43"/>
  <c r="Q30" i="43" s="1"/>
  <c r="L30" i="43"/>
  <c r="P30" i="43" s="1"/>
  <c r="K30" i="43"/>
  <c r="O30" i="43" s="1"/>
  <c r="AA29" i="43"/>
  <c r="T29" i="43"/>
  <c r="M29" i="43"/>
  <c r="Q29" i="43" s="1"/>
  <c r="L29" i="43"/>
  <c r="P29" i="43" s="1"/>
  <c r="AA28" i="43"/>
  <c r="T28" i="43"/>
  <c r="M28" i="43"/>
  <c r="Q28" i="43" s="1"/>
  <c r="L28" i="43"/>
  <c r="P28" i="43" s="1"/>
  <c r="K28" i="43"/>
  <c r="O28" i="43" s="1"/>
  <c r="AA27" i="43"/>
  <c r="T27" i="43"/>
  <c r="M27" i="43"/>
  <c r="Q27" i="43" s="1"/>
  <c r="L27" i="43"/>
  <c r="P27" i="43" s="1"/>
  <c r="K27" i="43"/>
  <c r="O27" i="43" s="1"/>
  <c r="AA26" i="43"/>
  <c r="T26" i="43"/>
  <c r="M26" i="43"/>
  <c r="Q26" i="43" s="1"/>
  <c r="L26" i="43"/>
  <c r="P26" i="43" s="1"/>
  <c r="K26" i="43"/>
  <c r="O26" i="43" s="1"/>
  <c r="AA25" i="43"/>
  <c r="T25" i="43"/>
  <c r="M25" i="43"/>
  <c r="Q25" i="43" s="1"/>
  <c r="L25" i="43"/>
  <c r="P25" i="43" s="1"/>
  <c r="AA24" i="43"/>
  <c r="T24" i="43"/>
  <c r="M24" i="43"/>
  <c r="Q24" i="43" s="1"/>
  <c r="L24" i="43"/>
  <c r="P24" i="43" s="1"/>
  <c r="K24" i="43"/>
  <c r="O24" i="43" s="1"/>
  <c r="AA23" i="43"/>
  <c r="T23" i="43"/>
  <c r="M23" i="43"/>
  <c r="Q23" i="43" s="1"/>
  <c r="L23" i="43"/>
  <c r="P23" i="43" s="1"/>
  <c r="K23" i="43"/>
  <c r="O23" i="43" s="1"/>
  <c r="AA22" i="43"/>
  <c r="T22" i="43"/>
  <c r="M22" i="43"/>
  <c r="Q22" i="43" s="1"/>
  <c r="L22" i="43"/>
  <c r="P22" i="43" s="1"/>
  <c r="K22" i="43"/>
  <c r="O22" i="43" s="1"/>
  <c r="AA21" i="43"/>
  <c r="T21" i="43"/>
  <c r="M21" i="43"/>
  <c r="Q21" i="43" s="1"/>
  <c r="L21" i="43"/>
  <c r="P21" i="43" s="1"/>
  <c r="AA20" i="43"/>
  <c r="T20" i="43"/>
  <c r="M20" i="43"/>
  <c r="Q20" i="43" s="1"/>
  <c r="L20" i="43"/>
  <c r="P20" i="43" s="1"/>
  <c r="K20" i="43"/>
  <c r="O20" i="43" s="1"/>
  <c r="AA19" i="43"/>
  <c r="T19" i="43"/>
  <c r="M19" i="43"/>
  <c r="Q19" i="43" s="1"/>
  <c r="L19" i="43"/>
  <c r="P19" i="43" s="1"/>
  <c r="K19" i="43"/>
  <c r="O19" i="43" s="1"/>
  <c r="AA18" i="43"/>
  <c r="T18" i="43"/>
  <c r="M18" i="43"/>
  <c r="Q18" i="43" s="1"/>
  <c r="L18" i="43"/>
  <c r="P18" i="43" s="1"/>
  <c r="K18" i="43"/>
  <c r="O18" i="43" s="1"/>
  <c r="AA17" i="43"/>
  <c r="T17" i="43"/>
  <c r="M17" i="43"/>
  <c r="Q17" i="43" s="1"/>
  <c r="L17" i="43"/>
  <c r="P17" i="43" s="1"/>
  <c r="AA16" i="43"/>
  <c r="T16" i="43"/>
  <c r="M16" i="43"/>
  <c r="Q16" i="43" s="1"/>
  <c r="L16" i="43"/>
  <c r="P16" i="43" s="1"/>
  <c r="K16" i="43"/>
  <c r="O16" i="43" s="1"/>
  <c r="AA15" i="43"/>
  <c r="T15" i="43"/>
  <c r="M15" i="43"/>
  <c r="Q15" i="43" s="1"/>
  <c r="L15" i="43"/>
  <c r="P15" i="43" s="1"/>
  <c r="K15" i="43"/>
  <c r="O15" i="43" s="1"/>
  <c r="AA14" i="43"/>
  <c r="M14" i="43"/>
  <c r="Q14" i="43" s="1"/>
  <c r="L14" i="43"/>
  <c r="K14" i="43"/>
  <c r="O14" i="43" s="1"/>
  <c r="T13" i="43"/>
  <c r="M13" i="43"/>
  <c r="Q13" i="43" s="1"/>
  <c r="L13" i="43"/>
  <c r="P13" i="43" s="1"/>
  <c r="AA12" i="43"/>
  <c r="T12" i="43"/>
  <c r="M12" i="43"/>
  <c r="Q12" i="43" s="1"/>
  <c r="L12" i="43"/>
  <c r="P12" i="43" s="1"/>
  <c r="K12" i="43"/>
  <c r="O12" i="43" s="1"/>
  <c r="AA11" i="43"/>
  <c r="T11" i="43"/>
  <c r="M11" i="43"/>
  <c r="Q11" i="43" s="1"/>
  <c r="P11" i="43"/>
  <c r="AA10" i="43"/>
  <c r="T10" i="43"/>
  <c r="L10" i="43"/>
  <c r="P10" i="43" s="1"/>
  <c r="AG9" i="43"/>
  <c r="AF9" i="43"/>
  <c r="AE9" i="43"/>
  <c r="AD9" i="43"/>
  <c r="AC9" i="43"/>
  <c r="AB9" i="43"/>
  <c r="Z9" i="43"/>
  <c r="Y9" i="43"/>
  <c r="X9" i="43"/>
  <c r="W9" i="43"/>
  <c r="V9" i="43"/>
  <c r="U9" i="43"/>
  <c r="E9" i="43"/>
  <c r="D9" i="43"/>
  <c r="C9" i="43"/>
  <c r="P31" i="17"/>
  <c r="O31" i="17"/>
  <c r="P30" i="17"/>
  <c r="O30" i="17"/>
  <c r="P29" i="17"/>
  <c r="O29" i="17"/>
  <c r="P28" i="17"/>
  <c r="O28" i="17"/>
  <c r="P27" i="17"/>
  <c r="O27" i="17"/>
  <c r="P26" i="17"/>
  <c r="O26" i="17"/>
  <c r="P25" i="17"/>
  <c r="O25" i="17"/>
  <c r="P24" i="17"/>
  <c r="O24" i="17"/>
  <c r="P23" i="17"/>
  <c r="O23" i="17"/>
  <c r="P22" i="17"/>
  <c r="O22" i="17"/>
  <c r="P21" i="17"/>
  <c r="O21" i="17"/>
  <c r="P20" i="17"/>
  <c r="O20" i="17"/>
  <c r="P19" i="17"/>
  <c r="O19" i="17"/>
  <c r="P18" i="17"/>
  <c r="P17" i="17"/>
  <c r="O17" i="17"/>
  <c r="P16" i="17"/>
  <c r="O16" i="17"/>
  <c r="P15" i="17"/>
  <c r="O15" i="17"/>
  <c r="P14" i="17"/>
  <c r="O14" i="17"/>
  <c r="P13" i="17"/>
  <c r="O13" i="17"/>
  <c r="O12" i="17"/>
  <c r="E9" i="17"/>
  <c r="D9" i="17"/>
  <c r="D35" i="17" s="1"/>
  <c r="C9" i="17"/>
  <c r="D55" i="42"/>
  <c r="E56" i="42" s="1"/>
  <c r="D48" i="42"/>
  <c r="E54" i="42" s="1"/>
  <c r="D44" i="42"/>
  <c r="E46" i="42" s="1"/>
  <c r="D38" i="42"/>
  <c r="E42" i="42" s="1"/>
  <c r="D34" i="42"/>
  <c r="E35" i="42" s="1"/>
  <c r="D29" i="42"/>
  <c r="E30" i="42" s="1"/>
  <c r="D24" i="42"/>
  <c r="E26" i="42" s="1"/>
  <c r="D18" i="42"/>
  <c r="E22" i="42" s="1"/>
  <c r="D11" i="42"/>
  <c r="D6" i="42"/>
  <c r="C68" i="39"/>
  <c r="D68" i="39" s="1"/>
  <c r="K32" i="39"/>
  <c r="H32" i="39"/>
  <c r="C67" i="39"/>
  <c r="D67" i="39" s="1"/>
  <c r="K31" i="39"/>
  <c r="H31" i="39"/>
  <c r="C66" i="39"/>
  <c r="D66" i="39" s="1"/>
  <c r="K30" i="39"/>
  <c r="H30" i="39"/>
  <c r="C65" i="39"/>
  <c r="D65" i="39" s="1"/>
  <c r="K29" i="39"/>
  <c r="H29" i="39"/>
  <c r="C64" i="39"/>
  <c r="D64" i="39" s="1"/>
  <c r="K28" i="39"/>
  <c r="H28" i="39"/>
  <c r="C63" i="39"/>
  <c r="D63" i="39" s="1"/>
  <c r="K27" i="39"/>
  <c r="H27" i="39"/>
  <c r="C62" i="39"/>
  <c r="D62" i="39" s="1"/>
  <c r="K26" i="39"/>
  <c r="H26" i="39"/>
  <c r="C61" i="39"/>
  <c r="D61" i="39" s="1"/>
  <c r="K25" i="39"/>
  <c r="H25" i="39"/>
  <c r="C60" i="39"/>
  <c r="D60" i="39" s="1"/>
  <c r="K24" i="39"/>
  <c r="H24" i="39"/>
  <c r="C59" i="39"/>
  <c r="D59" i="39" s="1"/>
  <c r="K23" i="39"/>
  <c r="H23" i="39"/>
  <c r="C58" i="39"/>
  <c r="D58" i="39" s="1"/>
  <c r="K22" i="39"/>
  <c r="H22" i="39"/>
  <c r="C57" i="39"/>
  <c r="D57" i="39" s="1"/>
  <c r="K21" i="39"/>
  <c r="H21" i="39"/>
  <c r="C56" i="39"/>
  <c r="D56" i="39" s="1"/>
  <c r="K20" i="39"/>
  <c r="H20" i="39"/>
  <c r="C55" i="39"/>
  <c r="D55" i="39" s="1"/>
  <c r="K19" i="39"/>
  <c r="H19" i="39"/>
  <c r="C54" i="39"/>
  <c r="D54" i="39" s="1"/>
  <c r="K18" i="39"/>
  <c r="H18" i="39"/>
  <c r="C53" i="39"/>
  <c r="D53" i="39" s="1"/>
  <c r="K17" i="39"/>
  <c r="H17" i="39"/>
  <c r="C52" i="39"/>
  <c r="D52" i="39" s="1"/>
  <c r="H16" i="39"/>
  <c r="C51" i="39"/>
  <c r="D51" i="39" s="1"/>
  <c r="K15" i="39"/>
  <c r="H15" i="39"/>
  <c r="C50" i="39"/>
  <c r="D50" i="39" s="1"/>
  <c r="K14" i="39"/>
  <c r="H14" i="39"/>
  <c r="C49" i="39"/>
  <c r="D49" i="39" s="1"/>
  <c r="K13" i="39"/>
  <c r="H13" i="39"/>
  <c r="C48" i="39"/>
  <c r="D48" i="39" s="1"/>
  <c r="K12" i="39"/>
  <c r="H12" i="39"/>
  <c r="C47" i="39"/>
  <c r="D47" i="39" s="1"/>
  <c r="K11" i="39"/>
  <c r="H11" i="39"/>
  <c r="C46" i="39"/>
  <c r="D46" i="39" s="1"/>
  <c r="K10" i="39"/>
  <c r="H10" i="39"/>
  <c r="C45" i="39"/>
  <c r="D45" i="39" s="1"/>
  <c r="K9" i="39"/>
  <c r="H9" i="39"/>
  <c r="C44" i="39"/>
  <c r="D44" i="39" s="1"/>
  <c r="K8" i="39"/>
  <c r="H8" i="39"/>
  <c r="N33" i="40"/>
  <c r="J33" i="40"/>
  <c r="H33" i="40"/>
  <c r="I33" i="40"/>
  <c r="N32" i="40"/>
  <c r="J32" i="40"/>
  <c r="H32" i="40"/>
  <c r="E32" i="40"/>
  <c r="N31" i="40"/>
  <c r="J31" i="40"/>
  <c r="H31" i="40"/>
  <c r="E31" i="40"/>
  <c r="N30" i="40"/>
  <c r="J30" i="40"/>
  <c r="H30" i="40"/>
  <c r="I30" i="40"/>
  <c r="N29" i="40"/>
  <c r="J29" i="40"/>
  <c r="H29" i="40"/>
  <c r="I29" i="40"/>
  <c r="N28" i="40"/>
  <c r="J28" i="40"/>
  <c r="H28" i="40"/>
  <c r="E28" i="40"/>
  <c r="N27" i="40"/>
  <c r="J27" i="40"/>
  <c r="H27" i="40"/>
  <c r="E27" i="40"/>
  <c r="N26" i="40"/>
  <c r="J26" i="40"/>
  <c r="H26" i="40"/>
  <c r="E26" i="40"/>
  <c r="N25" i="40"/>
  <c r="J25" i="40"/>
  <c r="H25" i="40"/>
  <c r="I25" i="40"/>
  <c r="N24" i="40"/>
  <c r="J24" i="40"/>
  <c r="H24" i="40"/>
  <c r="I24" i="40"/>
  <c r="N23" i="40"/>
  <c r="J23" i="40"/>
  <c r="H23" i="40"/>
  <c r="E23" i="40"/>
  <c r="N22" i="40"/>
  <c r="J22" i="40"/>
  <c r="H22" i="40"/>
  <c r="E22" i="40"/>
  <c r="N21" i="40"/>
  <c r="J21" i="40"/>
  <c r="H21" i="40"/>
  <c r="I21" i="40"/>
  <c r="N20" i="40"/>
  <c r="J20" i="40"/>
  <c r="H20" i="40"/>
  <c r="E20" i="40"/>
  <c r="N19" i="40"/>
  <c r="J19" i="40"/>
  <c r="H19" i="40"/>
  <c r="E19" i="40"/>
  <c r="N18" i="40"/>
  <c r="J18" i="40"/>
  <c r="H18" i="40"/>
  <c r="E18" i="40"/>
  <c r="N17" i="40"/>
  <c r="J17" i="40"/>
  <c r="H17" i="40"/>
  <c r="I17" i="40"/>
  <c r="N16" i="40"/>
  <c r="J16" i="40"/>
  <c r="H16" i="40"/>
  <c r="E16" i="40"/>
  <c r="N15" i="40"/>
  <c r="J15" i="40"/>
  <c r="H15" i="40"/>
  <c r="E15" i="40"/>
  <c r="N14" i="40"/>
  <c r="J14" i="40"/>
  <c r="H14" i="40"/>
  <c r="I14" i="40"/>
  <c r="N13" i="40"/>
  <c r="J13" i="40"/>
  <c r="H13" i="40"/>
  <c r="I13" i="40"/>
  <c r="N12" i="40"/>
  <c r="J12" i="40"/>
  <c r="H12" i="40"/>
  <c r="E12" i="40"/>
  <c r="N11" i="40"/>
  <c r="J11" i="40"/>
  <c r="H11" i="40"/>
  <c r="E11" i="40"/>
  <c r="N10" i="40"/>
  <c r="J10" i="40"/>
  <c r="H10" i="40"/>
  <c r="N9" i="40"/>
  <c r="H9" i="40"/>
  <c r="M8" i="40"/>
  <c r="L8" i="40"/>
  <c r="V20" i="40" s="1"/>
  <c r="G8" i="40"/>
  <c r="H8" i="40" s="1"/>
  <c r="I36" i="37"/>
  <c r="M36" i="37" s="1"/>
  <c r="N36" i="37" s="1"/>
  <c r="G36" i="37"/>
  <c r="K36" i="37" s="1"/>
  <c r="L36" i="37" s="1"/>
  <c r="F36" i="37"/>
  <c r="D36" i="37"/>
  <c r="I35" i="37"/>
  <c r="M35" i="37" s="1"/>
  <c r="N35" i="37" s="1"/>
  <c r="G35" i="37"/>
  <c r="K35" i="37" s="1"/>
  <c r="L35" i="37" s="1"/>
  <c r="F35" i="37"/>
  <c r="D35" i="37"/>
  <c r="I34" i="37"/>
  <c r="M34" i="37" s="1"/>
  <c r="N34" i="37" s="1"/>
  <c r="G34" i="37"/>
  <c r="K34" i="37" s="1"/>
  <c r="L34" i="37" s="1"/>
  <c r="F34" i="37"/>
  <c r="D34" i="37"/>
  <c r="I33" i="37"/>
  <c r="G33" i="37"/>
  <c r="K33" i="37" s="1"/>
  <c r="L33" i="37" s="1"/>
  <c r="F33" i="37"/>
  <c r="D33" i="37"/>
  <c r="G32" i="37"/>
  <c r="K32" i="37" s="1"/>
  <c r="L32" i="37" s="1"/>
  <c r="F32" i="37"/>
  <c r="F31" i="37"/>
  <c r="I30" i="37"/>
  <c r="M30" i="37" s="1"/>
  <c r="N30" i="37" s="1"/>
  <c r="G30" i="37"/>
  <c r="K30" i="37" s="1"/>
  <c r="L30" i="37" s="1"/>
  <c r="F30" i="37"/>
  <c r="D30" i="37"/>
  <c r="M29" i="37"/>
  <c r="N29" i="37" s="1"/>
  <c r="F29" i="37"/>
  <c r="D29" i="37"/>
  <c r="P29" i="37" s="1"/>
  <c r="K27" i="37"/>
  <c r="L27" i="37" s="1"/>
  <c r="I27" i="37"/>
  <c r="M27" i="37" s="1"/>
  <c r="N27" i="37" s="1"/>
  <c r="I26" i="37"/>
  <c r="M18" i="37"/>
  <c r="N18" i="37" s="1"/>
  <c r="K18" i="37"/>
  <c r="L18" i="37" s="1"/>
  <c r="J18" i="37"/>
  <c r="H18" i="37"/>
  <c r="F18" i="37"/>
  <c r="M17" i="37"/>
  <c r="N17" i="37" s="1"/>
  <c r="K17" i="37"/>
  <c r="L17" i="37" s="1"/>
  <c r="J17" i="37"/>
  <c r="H17" i="37"/>
  <c r="F17" i="37"/>
  <c r="M16" i="37"/>
  <c r="N16" i="37" s="1"/>
  <c r="K16" i="37"/>
  <c r="L16" i="37" s="1"/>
  <c r="J16" i="37"/>
  <c r="H16" i="37"/>
  <c r="F16" i="37"/>
  <c r="M15" i="37"/>
  <c r="N15" i="37" s="1"/>
  <c r="K15" i="37"/>
  <c r="L15" i="37" s="1"/>
  <c r="J15" i="37"/>
  <c r="H15" i="37"/>
  <c r="F15" i="37"/>
  <c r="M14" i="37"/>
  <c r="N14" i="37" s="1"/>
  <c r="L14" i="37"/>
  <c r="J14" i="37"/>
  <c r="F14" i="37"/>
  <c r="P14" i="37"/>
  <c r="J13" i="37"/>
  <c r="M12" i="37"/>
  <c r="N12" i="37" s="1"/>
  <c r="K12" i="37"/>
  <c r="L12" i="37" s="1"/>
  <c r="J12" i="37"/>
  <c r="H12" i="37"/>
  <c r="F12" i="37"/>
  <c r="M11" i="37"/>
  <c r="N11" i="37" s="1"/>
  <c r="J11" i="37"/>
  <c r="F11" i="37"/>
  <c r="P11" i="37"/>
  <c r="M9" i="37"/>
  <c r="N9" i="37" s="1"/>
  <c r="K9" i="37"/>
  <c r="L9" i="37" s="1"/>
  <c r="M8" i="37"/>
  <c r="N8" i="37" s="1"/>
  <c r="L8" i="37"/>
  <c r="G5" i="3"/>
  <c r="F5" i="3"/>
  <c r="D5" i="3"/>
  <c r="C5" i="3"/>
  <c r="N26" i="12"/>
  <c r="L26" i="12"/>
  <c r="F22" i="12"/>
  <c r="D23" i="12"/>
  <c r="H34" i="32"/>
  <c r="G34" i="32"/>
  <c r="H33" i="32"/>
  <c r="G33" i="32"/>
  <c r="H32" i="32"/>
  <c r="G32" i="32"/>
  <c r="H31" i="32"/>
  <c r="G31" i="32"/>
  <c r="H30" i="32"/>
  <c r="G30" i="32"/>
  <c r="H29" i="32"/>
  <c r="G29" i="32"/>
  <c r="H28" i="32"/>
  <c r="G28" i="32"/>
  <c r="H27" i="32"/>
  <c r="G27" i="32"/>
  <c r="H26" i="32"/>
  <c r="G26" i="32"/>
  <c r="H25" i="32"/>
  <c r="G25" i="32"/>
  <c r="H24" i="32"/>
  <c r="G24" i="32"/>
  <c r="H23" i="32"/>
  <c r="G23" i="32"/>
  <c r="H22" i="32"/>
  <c r="G22" i="32"/>
  <c r="H21" i="32"/>
  <c r="G21" i="32"/>
  <c r="H20" i="32"/>
  <c r="G20" i="32"/>
  <c r="H19" i="32"/>
  <c r="G19" i="32"/>
  <c r="H18" i="32"/>
  <c r="G18" i="32"/>
  <c r="H17" i="32"/>
  <c r="G17" i="32"/>
  <c r="H16" i="32"/>
  <c r="G16" i="32"/>
  <c r="H15" i="32"/>
  <c r="H14" i="32"/>
  <c r="H13" i="32"/>
  <c r="G13" i="32"/>
  <c r="H12" i="32"/>
  <c r="G12" i="32"/>
  <c r="H11" i="32"/>
  <c r="G11" i="32"/>
  <c r="H10" i="32"/>
  <c r="G10" i="32"/>
  <c r="F5" i="32"/>
  <c r="K32" i="29"/>
  <c r="L32" i="29" s="1"/>
  <c r="I32" i="29"/>
  <c r="J32" i="29" s="1"/>
  <c r="H32" i="29"/>
  <c r="E32" i="29"/>
  <c r="K31" i="29"/>
  <c r="L31" i="29" s="1"/>
  <c r="I31" i="29"/>
  <c r="J31" i="29" s="1"/>
  <c r="H31" i="29"/>
  <c r="E31" i="29"/>
  <c r="K30" i="29"/>
  <c r="L30" i="29" s="1"/>
  <c r="I30" i="29"/>
  <c r="J30" i="29" s="1"/>
  <c r="H30" i="29"/>
  <c r="E30" i="29"/>
  <c r="K29" i="29"/>
  <c r="L29" i="29" s="1"/>
  <c r="I29" i="29"/>
  <c r="J29" i="29" s="1"/>
  <c r="H29" i="29"/>
  <c r="E29" i="29"/>
  <c r="K28" i="29"/>
  <c r="L28" i="29" s="1"/>
  <c r="I28" i="29"/>
  <c r="J28" i="29" s="1"/>
  <c r="H28" i="29"/>
  <c r="E28" i="29"/>
  <c r="K27" i="29"/>
  <c r="L27" i="29" s="1"/>
  <c r="I27" i="29"/>
  <c r="J27" i="29" s="1"/>
  <c r="H27" i="29"/>
  <c r="E27" i="29"/>
  <c r="K26" i="29"/>
  <c r="L26" i="29" s="1"/>
  <c r="I26" i="29"/>
  <c r="J26" i="29" s="1"/>
  <c r="H26" i="29"/>
  <c r="E26" i="29"/>
  <c r="K25" i="29"/>
  <c r="L25" i="29" s="1"/>
  <c r="I25" i="29"/>
  <c r="J25" i="29" s="1"/>
  <c r="H25" i="29"/>
  <c r="E25" i="29"/>
  <c r="K24" i="29"/>
  <c r="L24" i="29" s="1"/>
  <c r="I24" i="29"/>
  <c r="J24" i="29" s="1"/>
  <c r="H24" i="29"/>
  <c r="E24" i="29"/>
  <c r="K23" i="29"/>
  <c r="L23" i="29" s="1"/>
  <c r="I23" i="29"/>
  <c r="J23" i="29" s="1"/>
  <c r="H23" i="29"/>
  <c r="E23" i="29"/>
  <c r="K22" i="29"/>
  <c r="L22" i="29" s="1"/>
  <c r="I22" i="29"/>
  <c r="J22" i="29" s="1"/>
  <c r="H22" i="29"/>
  <c r="E22" i="29"/>
  <c r="K21" i="29"/>
  <c r="L21" i="29" s="1"/>
  <c r="I21" i="29"/>
  <c r="J21" i="29" s="1"/>
  <c r="H21" i="29"/>
  <c r="E21" i="29"/>
  <c r="K20" i="29"/>
  <c r="L20" i="29" s="1"/>
  <c r="I20" i="29"/>
  <c r="J20" i="29" s="1"/>
  <c r="H20" i="29"/>
  <c r="E20" i="29"/>
  <c r="K19" i="29"/>
  <c r="L19" i="29" s="1"/>
  <c r="I19" i="29"/>
  <c r="J19" i="29" s="1"/>
  <c r="H19" i="29"/>
  <c r="E19" i="29"/>
  <c r="K18" i="29"/>
  <c r="L18" i="29" s="1"/>
  <c r="I18" i="29"/>
  <c r="J18" i="29" s="1"/>
  <c r="H18" i="29"/>
  <c r="E18" i="29"/>
  <c r="K17" i="29"/>
  <c r="L17" i="29" s="1"/>
  <c r="I17" i="29"/>
  <c r="J17" i="29" s="1"/>
  <c r="H17" i="29"/>
  <c r="E17" i="29"/>
  <c r="K16" i="29"/>
  <c r="L16" i="29" s="1"/>
  <c r="I16" i="29"/>
  <c r="J16" i="29" s="1"/>
  <c r="H16" i="29"/>
  <c r="E16" i="29"/>
  <c r="K15" i="29"/>
  <c r="L15" i="29" s="1"/>
  <c r="I15" i="29"/>
  <c r="J15" i="29" s="1"/>
  <c r="H15" i="29"/>
  <c r="E15" i="29"/>
  <c r="K14" i="29"/>
  <c r="L14" i="29" s="1"/>
  <c r="I14" i="29"/>
  <c r="J14" i="29" s="1"/>
  <c r="H14" i="29"/>
  <c r="E14" i="29"/>
  <c r="K13" i="29"/>
  <c r="L13" i="29" s="1"/>
  <c r="I13" i="29"/>
  <c r="J13" i="29" s="1"/>
  <c r="H13" i="29"/>
  <c r="E13" i="29"/>
  <c r="K12" i="29"/>
  <c r="L12" i="29" s="1"/>
  <c r="I12" i="29"/>
  <c r="J12" i="29" s="1"/>
  <c r="H12" i="29"/>
  <c r="E12" i="29"/>
  <c r="K11" i="29"/>
  <c r="L11" i="29" s="1"/>
  <c r="I11" i="29"/>
  <c r="J11" i="29" s="1"/>
  <c r="H11" i="29"/>
  <c r="E11" i="29"/>
  <c r="K10" i="29"/>
  <c r="L10" i="29" s="1"/>
  <c r="I10" i="29"/>
  <c r="J10" i="29" s="1"/>
  <c r="H10" i="29"/>
  <c r="E10" i="29"/>
  <c r="K9" i="29"/>
  <c r="L9" i="29" s="1"/>
  <c r="I9" i="29"/>
  <c r="J9" i="29" s="1"/>
  <c r="H9" i="29"/>
  <c r="E9" i="29"/>
  <c r="K8" i="29"/>
  <c r="L8" i="29" s="1"/>
  <c r="I8" i="29"/>
  <c r="J8" i="29" s="1"/>
  <c r="H8" i="29"/>
  <c r="E8" i="29"/>
  <c r="G7" i="29"/>
  <c r="F7" i="29"/>
  <c r="D7" i="29"/>
  <c r="C7" i="29"/>
  <c r="H13" i="31"/>
  <c r="G13" i="31"/>
  <c r="F13" i="31"/>
  <c r="D13" i="31"/>
  <c r="H12" i="31"/>
  <c r="G12" i="31"/>
  <c r="F12" i="31"/>
  <c r="D12" i="31"/>
  <c r="H11" i="31"/>
  <c r="F11" i="31"/>
  <c r="D11" i="31"/>
  <c r="G9" i="31"/>
  <c r="H8" i="31"/>
  <c r="F8" i="31"/>
  <c r="D8" i="31"/>
  <c r="H7" i="31"/>
  <c r="G42" i="27"/>
  <c r="F42" i="27"/>
  <c r="D42" i="27"/>
  <c r="G41" i="27"/>
  <c r="F41" i="27"/>
  <c r="D41" i="27"/>
  <c r="G40" i="27"/>
  <c r="F40" i="27"/>
  <c r="D40" i="27"/>
  <c r="G39" i="27"/>
  <c r="F39" i="27"/>
  <c r="D39" i="27"/>
  <c r="G38" i="27"/>
  <c r="F38" i="27"/>
  <c r="D38" i="27"/>
  <c r="G37" i="27"/>
  <c r="F37" i="27"/>
  <c r="D37" i="27"/>
  <c r="G36" i="27"/>
  <c r="F36" i="27"/>
  <c r="D36" i="27"/>
  <c r="G35" i="27"/>
  <c r="F35" i="27"/>
  <c r="D35" i="27"/>
  <c r="F34" i="27"/>
  <c r="G33" i="27"/>
  <c r="F33" i="27"/>
  <c r="D33" i="27"/>
  <c r="G32" i="27"/>
  <c r="F32" i="27"/>
  <c r="D32" i="27"/>
  <c r="G31" i="27"/>
  <c r="F31" i="27"/>
  <c r="D31" i="27"/>
  <c r="G30" i="27"/>
  <c r="F30" i="27"/>
  <c r="D30" i="27"/>
  <c r="G29" i="27"/>
  <c r="F29" i="27"/>
  <c r="D29" i="27"/>
  <c r="G28" i="27"/>
  <c r="F28" i="27"/>
  <c r="D28" i="27"/>
  <c r="G27" i="27"/>
  <c r="D27" i="27"/>
  <c r="G26" i="27"/>
  <c r="F26" i="27"/>
  <c r="D26" i="27"/>
  <c r="D25" i="27"/>
  <c r="G24" i="27"/>
  <c r="F24" i="27"/>
  <c r="D24" i="27"/>
  <c r="G23" i="27"/>
  <c r="F23" i="27"/>
  <c r="D23" i="27"/>
  <c r="G22" i="27"/>
  <c r="F22" i="27"/>
  <c r="D22" i="27"/>
  <c r="G21" i="27"/>
  <c r="F21" i="27"/>
  <c r="D21" i="27"/>
  <c r="G20" i="27"/>
  <c r="F20" i="27"/>
  <c r="D20" i="27"/>
  <c r="G19" i="27"/>
  <c r="F19" i="27"/>
  <c r="D19" i="27"/>
  <c r="G18" i="27"/>
  <c r="D18" i="27"/>
  <c r="G17" i="27"/>
  <c r="F17" i="27"/>
  <c r="D17" i="27"/>
  <c r="G16" i="27"/>
  <c r="F16" i="27"/>
  <c r="D16" i="27"/>
  <c r="G15" i="27"/>
  <c r="F15" i="27"/>
  <c r="D15" i="27"/>
  <c r="G14" i="27"/>
  <c r="F14" i="27"/>
  <c r="D14" i="27"/>
  <c r="G13" i="27"/>
  <c r="F13" i="27"/>
  <c r="D13" i="27"/>
  <c r="G11" i="27"/>
  <c r="D11" i="27"/>
  <c r="G10" i="27"/>
  <c r="D10" i="27"/>
  <c r="G6" i="27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D9" i="28"/>
  <c r="C9" i="28"/>
  <c r="G9" i="28" s="1"/>
  <c r="J17" i="6"/>
  <c r="F17" i="6"/>
  <c r="D17" i="6"/>
  <c r="J16" i="6"/>
  <c r="F16" i="6"/>
  <c r="D16" i="6"/>
  <c r="J15" i="6"/>
  <c r="F15" i="6"/>
  <c r="D15" i="6"/>
  <c r="J14" i="6"/>
  <c r="F14" i="6"/>
  <c r="D14" i="6"/>
  <c r="J13" i="6"/>
  <c r="F13" i="6"/>
  <c r="D13" i="6"/>
  <c r="J12" i="6"/>
  <c r="F12" i="6"/>
  <c r="D12" i="6"/>
  <c r="F10" i="6"/>
  <c r="D10" i="6"/>
  <c r="F9" i="6"/>
  <c r="D9" i="6"/>
  <c r="D7" i="6" s="1"/>
  <c r="L32" i="2"/>
  <c r="K32" i="2"/>
  <c r="G32" i="2"/>
  <c r="L31" i="2"/>
  <c r="K31" i="2"/>
  <c r="G31" i="2"/>
  <c r="L30" i="2"/>
  <c r="K30" i="2"/>
  <c r="G30" i="2"/>
  <c r="L29" i="2"/>
  <c r="K29" i="2"/>
  <c r="G29" i="2"/>
  <c r="L28" i="2"/>
  <c r="K28" i="2"/>
  <c r="G28" i="2"/>
  <c r="L27" i="2"/>
  <c r="K27" i="2"/>
  <c r="G27" i="2"/>
  <c r="Q27" i="2"/>
  <c r="L26" i="2"/>
  <c r="K26" i="2"/>
  <c r="G26" i="2"/>
  <c r="L25" i="2"/>
  <c r="K25" i="2"/>
  <c r="G25" i="2"/>
  <c r="L24" i="2"/>
  <c r="K24" i="2"/>
  <c r="G24" i="2"/>
  <c r="Q24" i="2"/>
  <c r="L23" i="2"/>
  <c r="K23" i="2"/>
  <c r="G23" i="2"/>
  <c r="L22" i="2"/>
  <c r="K22" i="2"/>
  <c r="G22" i="2"/>
  <c r="L21" i="2"/>
  <c r="K21" i="2"/>
  <c r="G21" i="2"/>
  <c r="Q21" i="2"/>
  <c r="L20" i="2"/>
  <c r="K20" i="2"/>
  <c r="G20" i="2"/>
  <c r="L19" i="2"/>
  <c r="K19" i="2"/>
  <c r="G19" i="2"/>
  <c r="L18" i="2"/>
  <c r="K18" i="2"/>
  <c r="G18" i="2"/>
  <c r="Q18" i="2"/>
  <c r="L17" i="2"/>
  <c r="K17" i="2"/>
  <c r="G17" i="2"/>
  <c r="K16" i="2"/>
  <c r="G16" i="2"/>
  <c r="G15" i="2"/>
  <c r="G14" i="2"/>
  <c r="Q14" i="2"/>
  <c r="K13" i="2"/>
  <c r="G13" i="2"/>
  <c r="G12" i="2"/>
  <c r="G11" i="2"/>
  <c r="G10" i="2"/>
  <c r="E7" i="2"/>
  <c r="D7" i="2"/>
  <c r="L5" i="3" l="1"/>
  <c r="I5" i="3"/>
  <c r="J5" i="3" s="1"/>
  <c r="E7" i="29"/>
  <c r="I7" i="29"/>
  <c r="J7" i="29" s="1"/>
  <c r="D20" i="6"/>
  <c r="Q30" i="2"/>
  <c r="Q15" i="2"/>
  <c r="Q31" i="2"/>
  <c r="Q19" i="2"/>
  <c r="Q28" i="2"/>
  <c r="Q25" i="2"/>
  <c r="Q10" i="2"/>
  <c r="Q11" i="2"/>
  <c r="Q8" i="2"/>
  <c r="Q9" i="2"/>
  <c r="Q22" i="2"/>
  <c r="Q16" i="2"/>
  <c r="Q20" i="2"/>
  <c r="Q26" i="2"/>
  <c r="Q32" i="2"/>
  <c r="Q12" i="2"/>
  <c r="Q29" i="2"/>
  <c r="Q17" i="2"/>
  <c r="Q23" i="2"/>
  <c r="Q13" i="2"/>
  <c r="D65" i="42"/>
  <c r="J11" i="32"/>
  <c r="J8" i="40"/>
  <c r="O14" i="6"/>
  <c r="D60" i="44"/>
  <c r="E58" i="44" s="1"/>
  <c r="E15" i="42"/>
  <c r="D60" i="42"/>
  <c r="P9" i="3"/>
  <c r="O9" i="3"/>
  <c r="P13" i="3"/>
  <c r="O13" i="3"/>
  <c r="P17" i="3"/>
  <c r="O17" i="3"/>
  <c r="P21" i="3"/>
  <c r="O21" i="3"/>
  <c r="O25" i="3"/>
  <c r="P25" i="3"/>
  <c r="P10" i="3"/>
  <c r="O10" i="3"/>
  <c r="P14" i="3"/>
  <c r="O14" i="3"/>
  <c r="P18" i="3"/>
  <c r="O18" i="3"/>
  <c r="P22" i="3"/>
  <c r="O22" i="3"/>
  <c r="O26" i="3"/>
  <c r="P26" i="3"/>
  <c r="P11" i="3"/>
  <c r="O11" i="3"/>
  <c r="P15" i="3"/>
  <c r="O15" i="3"/>
  <c r="P19" i="3"/>
  <c r="O19" i="3"/>
  <c r="P23" i="3"/>
  <c r="O23" i="3"/>
  <c r="P27" i="3"/>
  <c r="O27" i="3"/>
  <c r="P8" i="3"/>
  <c r="P12" i="3"/>
  <c r="O12" i="3"/>
  <c r="P16" i="3"/>
  <c r="O16" i="3"/>
  <c r="P20" i="3"/>
  <c r="O20" i="3"/>
  <c r="O24" i="3"/>
  <c r="P24" i="3"/>
  <c r="O28" i="3"/>
  <c r="P28" i="3"/>
  <c r="N8" i="2"/>
  <c r="C8" i="40"/>
  <c r="W18" i="40" s="1"/>
  <c r="E57" i="42"/>
  <c r="E58" i="42"/>
  <c r="E10" i="42"/>
  <c r="E8" i="42"/>
  <c r="E7" i="42"/>
  <c r="E9" i="42"/>
  <c r="J36" i="37"/>
  <c r="J14" i="32"/>
  <c r="J10" i="32"/>
  <c r="J12" i="32"/>
  <c r="J15" i="32"/>
  <c r="J19" i="32"/>
  <c r="J21" i="32"/>
  <c r="J23" i="32"/>
  <c r="J25" i="32"/>
  <c r="J27" i="32"/>
  <c r="J29" i="32"/>
  <c r="J33" i="32"/>
  <c r="J17" i="32"/>
  <c r="J31" i="32"/>
  <c r="J13" i="32"/>
  <c r="J16" i="32"/>
  <c r="J18" i="32"/>
  <c r="J20" i="32"/>
  <c r="J22" i="32"/>
  <c r="J24" i="32"/>
  <c r="J26" i="32"/>
  <c r="J28" i="32"/>
  <c r="J30" i="32"/>
  <c r="J32" i="32"/>
  <c r="J34" i="32"/>
  <c r="E7" i="27"/>
  <c r="F7" i="27" s="1"/>
  <c r="H17" i="6"/>
  <c r="K7" i="29"/>
  <c r="L7" i="29" s="1"/>
  <c r="F9" i="31"/>
  <c r="F7" i="31" s="1"/>
  <c r="H9" i="28"/>
  <c r="E37" i="42"/>
  <c r="E36" i="42"/>
  <c r="E8" i="44"/>
  <c r="T9" i="43"/>
  <c r="J33" i="37"/>
  <c r="E48" i="44"/>
  <c r="E50" i="44"/>
  <c r="E52" i="44"/>
  <c r="E53" i="44"/>
  <c r="E49" i="44"/>
  <c r="E45" i="44"/>
  <c r="E44" i="44"/>
  <c r="E40" i="44"/>
  <c r="E41" i="44"/>
  <c r="E39" i="44"/>
  <c r="E38" i="44"/>
  <c r="E36" i="44"/>
  <c r="E35" i="44"/>
  <c r="E29" i="44"/>
  <c r="E31" i="44"/>
  <c r="E32" i="44"/>
  <c r="E27" i="44"/>
  <c r="E25" i="44"/>
  <c r="E24" i="44"/>
  <c r="E19" i="44"/>
  <c r="E20" i="44"/>
  <c r="E21" i="44"/>
  <c r="E18" i="44"/>
  <c r="E16" i="44"/>
  <c r="E13" i="44"/>
  <c r="E12" i="44"/>
  <c r="E11" i="44"/>
  <c r="E15" i="44"/>
  <c r="E9" i="44"/>
  <c r="E7" i="44"/>
  <c r="E6" i="44"/>
  <c r="N17" i="43"/>
  <c r="R17" i="43" s="1"/>
  <c r="J29" i="43"/>
  <c r="N29" i="43" s="1"/>
  <c r="R29" i="43" s="1"/>
  <c r="J13" i="43"/>
  <c r="N13" i="43" s="1"/>
  <c r="R13" i="43" s="1"/>
  <c r="J21" i="43"/>
  <c r="N21" i="43" s="1"/>
  <c r="R21" i="43" s="1"/>
  <c r="J25" i="43"/>
  <c r="N25" i="43" s="1"/>
  <c r="R25" i="43" s="1"/>
  <c r="J33" i="43"/>
  <c r="N33" i="43" s="1"/>
  <c r="R33" i="43" s="1"/>
  <c r="E49" i="42"/>
  <c r="E51" i="42"/>
  <c r="E52" i="42"/>
  <c r="E53" i="42"/>
  <c r="E50" i="42"/>
  <c r="E47" i="42"/>
  <c r="E45" i="42"/>
  <c r="E41" i="42"/>
  <c r="E40" i="42"/>
  <c r="E39" i="42"/>
  <c r="E43" i="42"/>
  <c r="E32" i="42"/>
  <c r="E31" i="42"/>
  <c r="E33" i="42"/>
  <c r="E27" i="42"/>
  <c r="E28" i="42"/>
  <c r="E25" i="42"/>
  <c r="E21" i="42"/>
  <c r="E20" i="42"/>
  <c r="E19" i="42"/>
  <c r="E23" i="42"/>
  <c r="E14" i="42"/>
  <c r="E12" i="42"/>
  <c r="E17" i="42"/>
  <c r="E16" i="42"/>
  <c r="E13" i="42"/>
  <c r="F19" i="41"/>
  <c r="E19" i="41"/>
  <c r="N8" i="40"/>
  <c r="K10" i="40"/>
  <c r="K13" i="40"/>
  <c r="K14" i="40"/>
  <c r="K17" i="40"/>
  <c r="K21" i="40"/>
  <c r="K24" i="40"/>
  <c r="K25" i="40"/>
  <c r="K29" i="40"/>
  <c r="K30" i="40"/>
  <c r="K33" i="40"/>
  <c r="M33" i="37"/>
  <c r="N33" i="37" s="1"/>
  <c r="H35" i="37"/>
  <c r="J34" i="37"/>
  <c r="M26" i="37"/>
  <c r="N26" i="37" s="1"/>
  <c r="J30" i="37"/>
  <c r="J35" i="37"/>
  <c r="J29" i="37"/>
  <c r="J32" i="37"/>
  <c r="J31" i="37"/>
  <c r="H34" i="37"/>
  <c r="P31" i="37"/>
  <c r="H32" i="37"/>
  <c r="P32" i="37" s="1"/>
  <c r="H36" i="37"/>
  <c r="H30" i="37"/>
  <c r="L26" i="37"/>
  <c r="H33" i="37"/>
  <c r="N20" i="12"/>
  <c r="N21" i="12"/>
  <c r="N25" i="12"/>
  <c r="N24" i="12"/>
  <c r="F23" i="12"/>
  <c r="F21" i="12"/>
  <c r="G8" i="27"/>
  <c r="I20" i="40"/>
  <c r="K20" i="40" s="1"/>
  <c r="I26" i="40"/>
  <c r="K26" i="40" s="1"/>
  <c r="I12" i="40"/>
  <c r="K12" i="40" s="1"/>
  <c r="I28" i="40"/>
  <c r="K28" i="40" s="1"/>
  <c r="I16" i="40"/>
  <c r="K16" i="40" s="1"/>
  <c r="E10" i="40"/>
  <c r="I18" i="40"/>
  <c r="K18" i="40" s="1"/>
  <c r="I22" i="40"/>
  <c r="K22" i="40" s="1"/>
  <c r="I32" i="40"/>
  <c r="K32" i="40" s="1"/>
  <c r="E14" i="40"/>
  <c r="E24" i="40"/>
  <c r="E30" i="40"/>
  <c r="N23" i="12"/>
  <c r="N22" i="12"/>
  <c r="L21" i="12"/>
  <c r="L23" i="12"/>
  <c r="L25" i="12"/>
  <c r="L20" i="12"/>
  <c r="L22" i="12"/>
  <c r="L24" i="12"/>
  <c r="F20" i="12"/>
  <c r="F24" i="12"/>
  <c r="D20" i="12"/>
  <c r="D22" i="12"/>
  <c r="D24" i="12"/>
  <c r="D21" i="12"/>
  <c r="H7" i="29"/>
  <c r="H9" i="31"/>
  <c r="D9" i="31"/>
  <c r="D7" i="31" s="1"/>
  <c r="G34" i="27"/>
  <c r="D34" i="27"/>
  <c r="G25" i="27"/>
  <c r="D7" i="27"/>
  <c r="H9" i="6"/>
  <c r="H12" i="6"/>
  <c r="H14" i="6"/>
  <c r="H16" i="6"/>
  <c r="H13" i="6"/>
  <c r="H15" i="6"/>
  <c r="E9" i="40"/>
  <c r="K11" i="40"/>
  <c r="E13" i="40"/>
  <c r="I15" i="40"/>
  <c r="K15" i="40" s="1"/>
  <c r="E17" i="40"/>
  <c r="I19" i="40"/>
  <c r="K19" i="40" s="1"/>
  <c r="E21" i="40"/>
  <c r="I23" i="40"/>
  <c r="K23" i="40" s="1"/>
  <c r="E25" i="40"/>
  <c r="I27" i="40"/>
  <c r="K27" i="40" s="1"/>
  <c r="E29" i="40"/>
  <c r="I31" i="40"/>
  <c r="K31" i="40" s="1"/>
  <c r="E33" i="40"/>
  <c r="O8" i="2"/>
  <c r="O9" i="2"/>
  <c r="N9" i="2"/>
  <c r="N10" i="2"/>
  <c r="O10" i="2"/>
  <c r="O11" i="2"/>
  <c r="N11" i="2"/>
  <c r="N12" i="2"/>
  <c r="O12" i="2"/>
  <c r="O13" i="2"/>
  <c r="N13" i="2"/>
  <c r="N14" i="2"/>
  <c r="O14" i="2"/>
  <c r="O15" i="2"/>
  <c r="N15" i="2"/>
  <c r="O16" i="2"/>
  <c r="N16" i="2"/>
  <c r="N17" i="2"/>
  <c r="O17" i="2"/>
  <c r="N18" i="2"/>
  <c r="O18" i="2"/>
  <c r="O19" i="2"/>
  <c r="N19" i="2"/>
  <c r="N20" i="2"/>
  <c r="O20" i="2"/>
  <c r="O21" i="2"/>
  <c r="N21" i="2"/>
  <c r="O22" i="2"/>
  <c r="N22" i="2"/>
  <c r="O23" i="2"/>
  <c r="N23" i="2"/>
  <c r="O24" i="2"/>
  <c r="N24" i="2"/>
  <c r="O25" i="2"/>
  <c r="N25" i="2"/>
  <c r="O26" i="2"/>
  <c r="N26" i="2"/>
  <c r="N27" i="2"/>
  <c r="O27" i="2"/>
  <c r="O28" i="2"/>
  <c r="N28" i="2"/>
  <c r="N29" i="2"/>
  <c r="O29" i="2"/>
  <c r="O30" i="2"/>
  <c r="N30" i="2"/>
  <c r="O31" i="2"/>
  <c r="N31" i="2"/>
  <c r="N32" i="2"/>
  <c r="O32" i="2"/>
  <c r="J32" i="43"/>
  <c r="N32" i="43" s="1"/>
  <c r="R32" i="43" s="1"/>
  <c r="J27" i="43"/>
  <c r="N27" i="43" s="1"/>
  <c r="R27" i="43" s="1"/>
  <c r="I9" i="43"/>
  <c r="J11" i="43"/>
  <c r="N11" i="43" s="1"/>
  <c r="R11" i="43" s="1"/>
  <c r="J12" i="43"/>
  <c r="N12" i="43" s="1"/>
  <c r="R12" i="43" s="1"/>
  <c r="J15" i="43"/>
  <c r="N15" i="43" s="1"/>
  <c r="R15" i="43" s="1"/>
  <c r="J28" i="43"/>
  <c r="N28" i="43" s="1"/>
  <c r="R28" i="43" s="1"/>
  <c r="H9" i="43"/>
  <c r="J19" i="43"/>
  <c r="N19" i="43" s="1"/>
  <c r="R19" i="43" s="1"/>
  <c r="J20" i="43"/>
  <c r="N20" i="43" s="1"/>
  <c r="R20" i="43" s="1"/>
  <c r="J24" i="43"/>
  <c r="N24" i="43" s="1"/>
  <c r="R24" i="43" s="1"/>
  <c r="N31" i="43"/>
  <c r="R31" i="43" s="1"/>
  <c r="J16" i="43"/>
  <c r="N16" i="43" s="1"/>
  <c r="R16" i="43" s="1"/>
  <c r="J23" i="43"/>
  <c r="N23" i="43" s="1"/>
  <c r="R23" i="43" s="1"/>
  <c r="P14" i="43"/>
  <c r="L9" i="43"/>
  <c r="K17" i="43"/>
  <c r="O17" i="43" s="1"/>
  <c r="K25" i="43"/>
  <c r="O25" i="43" s="1"/>
  <c r="K33" i="43"/>
  <c r="O33" i="43" s="1"/>
  <c r="K13" i="43"/>
  <c r="O13" i="43" s="1"/>
  <c r="K21" i="43"/>
  <c r="O21" i="43" s="1"/>
  <c r="K29" i="43"/>
  <c r="O29" i="43" s="1"/>
  <c r="J14" i="43"/>
  <c r="J18" i="43"/>
  <c r="N18" i="43" s="1"/>
  <c r="R18" i="43" s="1"/>
  <c r="J22" i="43"/>
  <c r="N22" i="43" s="1"/>
  <c r="R22" i="43" s="1"/>
  <c r="J26" i="43"/>
  <c r="N26" i="43" s="1"/>
  <c r="R26" i="43" s="1"/>
  <c r="J30" i="43"/>
  <c r="N30" i="43" s="1"/>
  <c r="R30" i="43" s="1"/>
  <c r="J34" i="43"/>
  <c r="N34" i="43" s="1"/>
  <c r="R34" i="43" s="1"/>
  <c r="W20" i="40" l="1"/>
  <c r="N14" i="43"/>
  <c r="R14" i="43" s="1"/>
  <c r="L10" i="32"/>
  <c r="H20" i="6"/>
  <c r="S24" i="2"/>
  <c r="S23" i="2"/>
  <c r="R16" i="2"/>
  <c r="S22" i="2"/>
  <c r="S21" i="2"/>
  <c r="S32" i="2"/>
  <c r="S31" i="2"/>
  <c r="S19" i="2"/>
  <c r="R32" i="2"/>
  <c r="R20" i="2"/>
  <c r="R8" i="2"/>
  <c r="S18" i="2"/>
  <c r="R31" i="2"/>
  <c r="R19" i="2"/>
  <c r="S17" i="2"/>
  <c r="R30" i="2"/>
  <c r="R18" i="2"/>
  <c r="S16" i="2"/>
  <c r="S30" i="2"/>
  <c r="S29" i="2"/>
  <c r="S28" i="2"/>
  <c r="S27" i="2"/>
  <c r="S15" i="2"/>
  <c r="S26" i="2"/>
  <c r="S14" i="2"/>
  <c r="R27" i="2"/>
  <c r="R15" i="2"/>
  <c r="R25" i="2"/>
  <c r="R13" i="2"/>
  <c r="R24" i="2"/>
  <c r="R12" i="2"/>
  <c r="S10" i="2"/>
  <c r="R11" i="2"/>
  <c r="R22" i="2"/>
  <c r="R10" i="2"/>
  <c r="S20" i="2"/>
  <c r="R9" i="2"/>
  <c r="R29" i="2"/>
  <c r="S25" i="2"/>
  <c r="S13" i="2"/>
  <c r="R26" i="2"/>
  <c r="R14" i="2"/>
  <c r="S12" i="2"/>
  <c r="S11" i="2"/>
  <c r="R23" i="2"/>
  <c r="S9" i="2"/>
  <c r="S8" i="2"/>
  <c r="R21" i="2"/>
  <c r="R17" i="2"/>
  <c r="R28" i="2"/>
  <c r="L16" i="32"/>
  <c r="K31" i="32"/>
  <c r="D5" i="12"/>
  <c r="L19" i="32"/>
  <c r="K24" i="32"/>
  <c r="K26" i="32"/>
  <c r="K17" i="32"/>
  <c r="K12" i="32"/>
  <c r="L33" i="32"/>
  <c r="L11" i="32"/>
  <c r="K15" i="32"/>
  <c r="L24" i="32"/>
  <c r="K33" i="32"/>
  <c r="L18" i="32"/>
  <c r="K23" i="32"/>
  <c r="L32" i="32"/>
  <c r="L21" i="32"/>
  <c r="K18" i="32"/>
  <c r="L27" i="32"/>
  <c r="K32" i="32"/>
  <c r="K25" i="32"/>
  <c r="K22" i="32"/>
  <c r="L15" i="32"/>
  <c r="L31" i="32"/>
  <c r="K19" i="32"/>
  <c r="L12" i="32"/>
  <c r="L28" i="32"/>
  <c r="K16" i="32"/>
  <c r="L17" i="32"/>
  <c r="K13" i="32"/>
  <c r="L26" i="32"/>
  <c r="K20" i="32"/>
  <c r="K30" i="32"/>
  <c r="L23" i="32"/>
  <c r="K11" i="32"/>
  <c r="K27" i="32"/>
  <c r="L20" i="32"/>
  <c r="K14" i="32"/>
  <c r="K28" i="32"/>
  <c r="L25" i="32"/>
  <c r="K34" i="32"/>
  <c r="L34" i="32"/>
  <c r="L13" i="32"/>
  <c r="L22" i="32"/>
  <c r="K10" i="32"/>
  <c r="L30" i="32"/>
  <c r="E11" i="42"/>
  <c r="D61" i="42"/>
  <c r="E59" i="42" s="1"/>
  <c r="E6" i="42"/>
  <c r="K29" i="32"/>
  <c r="L29" i="32"/>
  <c r="K21" i="32"/>
  <c r="L14" i="32"/>
  <c r="N18" i="12"/>
  <c r="I8" i="40"/>
  <c r="V19" i="40" s="1"/>
  <c r="E28" i="44"/>
  <c r="E37" i="44"/>
  <c r="E17" i="44"/>
  <c r="E43" i="44"/>
  <c r="E54" i="44"/>
  <c r="E10" i="44"/>
  <c r="E33" i="44"/>
  <c r="E47" i="44"/>
  <c r="E5" i="44"/>
  <c r="E23" i="44"/>
  <c r="E34" i="42"/>
  <c r="E55" i="42"/>
  <c r="E44" i="42"/>
  <c r="E38" i="42"/>
  <c r="E29" i="42"/>
  <c r="E18" i="42"/>
  <c r="E24" i="42"/>
  <c r="E48" i="42"/>
  <c r="L18" i="12"/>
  <c r="D18" i="12"/>
  <c r="F18" i="12"/>
  <c r="G7" i="27"/>
  <c r="E8" i="40"/>
  <c r="Q10" i="43"/>
  <c r="W19" i="40" l="1"/>
  <c r="W21" i="40" s="1"/>
  <c r="V21" i="40"/>
  <c r="S33" i="2"/>
  <c r="E59" i="44"/>
  <c r="E60" i="42"/>
  <c r="K8" i="40"/>
</calcChain>
</file>

<file path=xl/sharedStrings.xml><?xml version="1.0" encoding="utf-8"?>
<sst xmlns="http://schemas.openxmlformats.org/spreadsheetml/2006/main" count="1451" uniqueCount="595">
  <si>
    <t>osoby poprzednio pracujące</t>
  </si>
  <si>
    <t>w tym:</t>
  </si>
  <si>
    <t>osoby dotychczas nie pracujące</t>
  </si>
  <si>
    <t>Wyszczególnienie</t>
  </si>
  <si>
    <t>ogółem</t>
  </si>
  <si>
    <t>kobiety</t>
  </si>
  <si>
    <t>mężczyźni</t>
  </si>
  <si>
    <t>wyzsze</t>
  </si>
  <si>
    <t>policealne i średnie zawodowe</t>
  </si>
  <si>
    <t>średnie ogólnokształcace</t>
  </si>
  <si>
    <t>zasadnicze-zawodowe</t>
  </si>
  <si>
    <t>zasiłki dla bezrobotnych</t>
  </si>
  <si>
    <t>inne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</si>
  <si>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</si>
  <si>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</si>
  <si>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</si>
  <si>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</si>
  <si>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</si>
  <si>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</si>
  <si>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</si>
  <si>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</si>
  <si>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</si>
  <si>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</si>
  <si>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</si>
  <si>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</si>
  <si>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</si>
  <si>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</si>
  <si>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</si>
  <si>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</si>
  <si>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</si>
  <si>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</si>
  <si>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</si>
  <si>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</si>
  <si>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</si>
  <si>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</si>
  <si>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</si>
  <si>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</si>
  <si>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</si>
  <si>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</si>
  <si>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</si>
  <si>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przy pracach interwencyjnych</t>
  </si>
  <si>
    <t>przy robotach publicznych</t>
  </si>
  <si>
    <t>bezrobotni skierowani na staż</t>
  </si>
  <si>
    <t>osoby zatrudnione</t>
  </si>
  <si>
    <t>bezrobotni, którzy rozpoczęli prace społecznie użyteczne</t>
  </si>
  <si>
    <t>bezrobotni, którzy podjęli działalność gospodarczą</t>
  </si>
  <si>
    <t>Razem</t>
  </si>
  <si>
    <t>pracy subsydiowanej</t>
  </si>
  <si>
    <t>z sektora publicznego</t>
  </si>
  <si>
    <t>w tym</t>
  </si>
  <si>
    <t>Ogółem</t>
  </si>
  <si>
    <t>18-24</t>
  </si>
  <si>
    <t>25-34</t>
  </si>
  <si>
    <t>35-44</t>
  </si>
  <si>
    <t>45-54</t>
  </si>
  <si>
    <t>55-59</t>
  </si>
  <si>
    <t>do 1 roku</t>
  </si>
  <si>
    <t>bez stażu pracy</t>
  </si>
  <si>
    <t>30 lat i więcej</t>
  </si>
  <si>
    <t>w liczbach bezwzgędnych</t>
  </si>
  <si>
    <t>z tego w przedziałach wieku</t>
  </si>
  <si>
    <t>60 lat i więcej</t>
  </si>
  <si>
    <t>z tego z wykształceniem</t>
  </si>
  <si>
    <t>wyższym</t>
  </si>
  <si>
    <t>policealnym i średnim zawodowym</t>
  </si>
  <si>
    <t>średnim ogólnokształcącym</t>
  </si>
  <si>
    <t>zasadniczym zawodowym</t>
  </si>
  <si>
    <t>gimnazjalnym i poniżej</t>
  </si>
  <si>
    <t>od 1 do 5 lat</t>
  </si>
  <si>
    <t>od 5 do 10 lat</t>
  </si>
  <si>
    <t>od 10 do 20 lat</t>
  </si>
  <si>
    <t>od 20 do 30 lat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</si>
  <si>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</si>
  <si>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</si>
  <si>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</si>
  <si>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</si>
  <si>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</si>
  <si>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</si>
  <si>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</si>
  <si>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podjęcia pracy w ramach refundacji kosztów zatrudnienia bezrobotnego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</si>
  <si>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</si>
  <si>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</si>
  <si>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</si>
  <si>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</si>
  <si>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</si>
  <si>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</si>
  <si>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 odbyciu przygotowania zawodowego dorosłych</t>
  </si>
  <si>
    <t>- podjęcia pracy poza miejscem zamieszkania w ramach bonu na zasiedlenie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</si>
  <si>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</si>
  <si>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</si>
  <si>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</si>
  <si>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</si>
  <si>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</si>
  <si>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---</t>
  </si>
  <si>
    <t>w tym kobiety</t>
  </si>
  <si>
    <t>od 31 do 50 roku życia</t>
  </si>
  <si>
    <t>10</t>
  </si>
  <si>
    <t>11</t>
  </si>
  <si>
    <t>12</t>
  </si>
  <si>
    <t>13</t>
  </si>
  <si>
    <t>14</t>
  </si>
  <si>
    <t>15</t>
  </si>
  <si>
    <t>wzrost-spadek*</t>
  </si>
  <si>
    <t>kategorie</t>
  </si>
  <si>
    <t>w tym osoby zwolnione z przyczyn dotyczących zakładu pracy</t>
  </si>
  <si>
    <t>w liczbach</t>
  </si>
  <si>
    <t>bezrobotni ogółem</t>
  </si>
  <si>
    <t>liczba</t>
  </si>
  <si>
    <t>powiaty</t>
  </si>
  <si>
    <t>wzrost/spadek</t>
  </si>
  <si>
    <t>LICZBA BEZROBOTNYCH</t>
  </si>
  <si>
    <t>STOPA BEZROBOCIA</t>
  </si>
  <si>
    <t>wzrost/spadek (liczba)</t>
  </si>
  <si>
    <t>*Bank Danych Loklanych www.stat.gov.pl</t>
  </si>
  <si>
    <t>nowo zarejestrowani bezrobotni "napływ"</t>
  </si>
  <si>
    <t xml:space="preserve">  z tego rejestrujący się:</t>
  </si>
  <si>
    <t xml:space="preserve">   w tym powracający do rejestracji:</t>
  </si>
  <si>
    <t>- po pracach społecznie użytecznych</t>
  </si>
  <si>
    <t>"napływ" bezrobotnych</t>
  </si>
  <si>
    <t>bezrobotni wyłączeni z rejestru "odpływ" (ogółem)</t>
  </si>
  <si>
    <t>wyłączeni z rejestru z utratą statusu bezrobotnych</t>
  </si>
  <si>
    <t>z powodu podjęcia pracy</t>
  </si>
  <si>
    <t>- pracy niesubsydiowanej</t>
  </si>
  <si>
    <t>- pracy subsydiowanej:</t>
  </si>
  <si>
    <t xml:space="preserve">   pracy subsydiowanej z tytułu:</t>
  </si>
  <si>
    <t>-  prac interwencyjnych</t>
  </si>
  <si>
    <t>-  robót publicznych</t>
  </si>
  <si>
    <t>-  otrzymania dotacji na uruchomienie działalności gospodarczej</t>
  </si>
  <si>
    <t>w tym bonu na zasiedlenie</t>
  </si>
  <si>
    <t>- podjęcia pracy w ramach bonu zatrudnieniowego</t>
  </si>
  <si>
    <t>- podjęcia pracy w ramach świadczenia aktywizacyjnego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</si>
  <si>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</si>
  <si>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</si>
  <si>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z innego powodu niż podjęcie pracy</t>
  </si>
  <si>
    <t>- odmowy bez uzasadnionej przyczyny przyjęcia propozycji odpowiedniej pracy lub innej formy pomocy, w tym w ramach Programu Aktywizacja i Integracja</t>
  </si>
  <si>
    <t>- nie potwierdzenia gotowości do pracy</t>
  </si>
  <si>
    <t>w tym w ramach bonu szkoleniowego</t>
  </si>
  <si>
    <t>w tym w ramach bonu stażowego</t>
  </si>
  <si>
    <t>w tym w ramach Programu Aktywizacja i Integracja</t>
  </si>
  <si>
    <t xml:space="preserve"> - inne (podjęcia pracy subsydiowanej)</t>
  </si>
  <si>
    <t>Kategorie</t>
  </si>
  <si>
    <t>z ogółu bezrobotnych, którzy podjęli pracę</t>
  </si>
  <si>
    <t>poprzednio pracujący (ogółem)</t>
  </si>
  <si>
    <t>w tym zwolnieni z przyczyn dotyczących zakładu pracy</t>
  </si>
  <si>
    <t>poprzednio pracujący</t>
  </si>
  <si>
    <t>"odpływ" bezrobotnych, w tym osoby, które podjęły pracę</t>
  </si>
  <si>
    <t>wyszczególnienie</t>
  </si>
  <si>
    <t>bezrobotni posiadający prawo do zasiłku w podziale na powiaty</t>
  </si>
  <si>
    <t>z tego wg stażu:</t>
  </si>
  <si>
    <t>w tym bezrobotni posiadający gospodarstwo rolne</t>
  </si>
  <si>
    <t>wzrost/spadek liczba</t>
  </si>
  <si>
    <t>Bezrobotni zamieszkali na wsi w podziale na powiaty</t>
  </si>
  <si>
    <t>bezrobotni długotrwale*</t>
  </si>
  <si>
    <t>do 30 roku życia*</t>
  </si>
  <si>
    <t>powyżej 50 roku życia**</t>
  </si>
  <si>
    <t>* Bezrobotny do 30 roku życia – do dnia zastosowania wobec niego usług lub instrumentów rynku pracy nie ukończył 30 roku życia.</t>
  </si>
  <si>
    <t>** Bezrobotny powyżej 50 roku życia – w dniu zastosowania wobec niego usług lub instrumentów rynku pracy ukończył co najmniej 50 rok życia.</t>
  </si>
  <si>
    <t>grupy zawodów</t>
  </si>
  <si>
    <t>A</t>
  </si>
  <si>
    <t>B</t>
  </si>
  <si>
    <t>AB</t>
  </si>
  <si>
    <t>razem</t>
  </si>
  <si>
    <t>w mln zł</t>
  </si>
  <si>
    <t>* Kategoria ta zawiera koszty należne instytucjom szkoleniowym, koszty egzaminów, licencji bez stypendiów i składek na ubezpieczenie społeczne.</t>
  </si>
  <si>
    <t>PRZEDSTAWICIELE WŁADZ PUBLICZNYCH, WYŻSI URZĘDNICY I KIEROWNICY</t>
  </si>
  <si>
    <t>SPECJALIŚCI</t>
  </si>
  <si>
    <t>TECHNICY I INNY ŚREDNI PERSONEL</t>
  </si>
  <si>
    <t>PRACOWNICY BIUROWI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</si>
  <si>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</si>
  <si>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</si>
  <si>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</si>
  <si>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</si>
  <si>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PRACOWNICY WYKONUJĄCY PRACE PROSTE</t>
  </si>
  <si>
    <t>bezrobotni bez zawodu</t>
  </si>
  <si>
    <t>bezrobotni z zawodem</t>
  </si>
  <si>
    <t>kody zawodów (wg KZiS)</t>
  </si>
  <si>
    <t>Kierownicy do spraw zarządzania i handlu</t>
  </si>
  <si>
    <t>Kierownicy do spraw produkcji i usług</t>
  </si>
  <si>
    <t>Kierownicy w branży hotelarskiej, handlu i innych branżach usługowych</t>
  </si>
  <si>
    <t>SIŁY ZBROJNE</t>
  </si>
  <si>
    <t>BEZROBOTNI Z ZAWODEM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</si>
  <si>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</si>
  <si>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</si>
  <si>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</si>
  <si>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</si>
  <si>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</si>
  <si>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</si>
  <si>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</si>
  <si>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</si>
  <si>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</si>
  <si>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</si>
  <si>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</si>
  <si>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</si>
  <si>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</si>
  <si>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</si>
  <si>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</si>
  <si>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osobistych</t>
  </si>
  <si>
    <t>Sprzedawcy i pokrewni</t>
  </si>
  <si>
    <t>Pracownicy opieki osobistej i pokrewni</t>
  </si>
  <si>
    <t>Pracownicy usług ochrony</t>
  </si>
  <si>
    <t>Rolnicy produkcji towarowej</t>
  </si>
  <si>
    <t>Leśnicy i rybacy</t>
  </si>
  <si>
    <t>Rolnicy i rybacy pracujący na własne potrzeby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</si>
  <si>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</si>
  <si>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</si>
  <si>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</si>
  <si>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</si>
  <si>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</si>
  <si>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maszyn i urządzeń wydobywczych i przetwórczych</t>
  </si>
  <si>
    <t>Monterzy</t>
  </si>
  <si>
    <t>Kierowcy i operatorzy pojazdów</t>
  </si>
  <si>
    <t>Pomoce domowe i sprzątaczki</t>
  </si>
  <si>
    <t>Robotnicy wykonujący prace proste w rolnictwie, leśnictwie, leśnictwie i rybactwie</t>
  </si>
  <si>
    <t>Robotnicy wykonujący prace proste w górnictwie, przemyśle, budownictwie i transporcie</t>
  </si>
  <si>
    <t>Pracownicy wykonujący prace proste związane z przygotowywaniem posiłków</t>
  </si>
  <si>
    <t>Sprzedawcy uliczni i pracownicy świadczący usługi na ulicach</t>
  </si>
  <si>
    <t>Ładowacze nieczystości i inni pracownicy wykonujący prace proste</t>
  </si>
  <si>
    <t>Oficerowie sił zbrojnych</t>
  </si>
  <si>
    <t>Podoficerowie sił zbrojnych</t>
  </si>
  <si>
    <t>Żołnierze szeregowi</t>
  </si>
  <si>
    <t>PRZEDSTAWICIELE WŁADZ PUBLICZNYCH, WYŻSI URZĘDNICY I KIEROWNICY*</t>
  </si>
  <si>
    <t>Przedstawiciele władz publicznych, wyżsi urzędnicy i dyrektorzy generalni**</t>
  </si>
  <si>
    <t>BEZROBOTNI BEZ ZAWODU***</t>
  </si>
  <si>
    <t>OFERTY BEZ ZAWODU***</t>
  </si>
  <si>
    <t>OFERTY Z ZAWODEM</t>
  </si>
  <si>
    <t>bezrobotni w szczególnej sytuacji na rynku pracy</t>
  </si>
  <si>
    <t>do 25 roku życia</t>
  </si>
  <si>
    <t xml:space="preserve">   do 30 roku życia</t>
  </si>
  <si>
    <t xml:space="preserve">   długotrwale bezrobotni</t>
  </si>
  <si>
    <t xml:space="preserve">   powyżej 50 roku życia</t>
  </si>
  <si>
    <t xml:space="preserve">   korzystający ze świadczeń pomocy społecznej</t>
  </si>
  <si>
    <t xml:space="preserve">   posiadający co najmniej jedno dziecko do 6 roku życia</t>
  </si>
  <si>
    <t xml:space="preserve">   posiadający co najmniej jedno dziecko niepełnosprawne do 18 roku życia</t>
  </si>
  <si>
    <t xml:space="preserve">  niepełnosprawni</t>
  </si>
  <si>
    <t>bezrobotni wg wieku</t>
  </si>
  <si>
    <t xml:space="preserve">*Bezrobotny długotrwale – pozostający w rejestrze powiatowego urzędu pracy łącznie przez okres ponad 12 miesięcy </t>
  </si>
  <si>
    <t xml:space="preserve">ogółem </t>
  </si>
  <si>
    <t xml:space="preserve">                                                  w okresie ostatnich 2 lat, z wyłączeniem okresów odbywania stażu</t>
  </si>
  <si>
    <t xml:space="preserve">                                                  i przygotowania zawodowego dorosłych.</t>
  </si>
  <si>
    <t>Pracownicy (ogółem)</t>
  </si>
  <si>
    <t xml:space="preserve"> z zakładów sektora prywatnego</t>
  </si>
  <si>
    <t>z zakładów  sektora publicznego</t>
  </si>
  <si>
    <t xml:space="preserve"> z aktywnych form:</t>
  </si>
  <si>
    <t>Tabela II.     BEZROBOTNI W PUP ORAZ STOPA BEZROBOCIA WG POWIATÓW</t>
  </si>
  <si>
    <t>Tabela I.     STAN I STRUKTURA OSÓB BEZROBOTNYCH ZAREJESTROWANYCH W PUP</t>
  </si>
  <si>
    <t>** Kategoria ta zawiera stypendia dla uczestników i składki na ubezpieczenie społeczne za okres stażu, przygotowania zawodowego dorosłych</t>
  </si>
  <si>
    <t xml:space="preserve">      realizacji studiów podyplomowych i szkolenia oraz stypendia i składki na ubezpieczenia społeczne za okres kontynuowania nauki. </t>
  </si>
  <si>
    <t>wzrost/spadek ogółem</t>
  </si>
  <si>
    <t>16</t>
  </si>
  <si>
    <t>zgłoszenia</t>
  </si>
  <si>
    <t>zwolnienia</t>
  </si>
  <si>
    <t>Ip '18</t>
  </si>
  <si>
    <t xml:space="preserve">                      Stan w końcu okresu, województwo podkarpackie</t>
  </si>
  <si>
    <t>ROK</t>
  </si>
  <si>
    <t>17</t>
  </si>
  <si>
    <t>I półrocze</t>
  </si>
  <si>
    <t>m. Krosno</t>
  </si>
  <si>
    <t>m. Przemyśl</t>
  </si>
  <si>
    <t>m. Rzeszów</t>
  </si>
  <si>
    <t>m. Tarnobrzeg</t>
  </si>
  <si>
    <t>Rolnictwo, leśnictwo, łowiectwo i rybactwo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</si>
  <si>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</si>
  <si>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</si>
  <si>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</si>
  <si>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wody,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</si>
  <si>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</si>
  <si>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</si>
  <si>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</si>
  <si>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</si>
  <si>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</si>
  <si>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</si>
  <si>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</si>
  <si>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</si>
  <si>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</si>
  <si>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</si>
  <si>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</si>
  <si>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</si>
  <si>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</si>
  <si>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</si>
  <si>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Działalność niezidentyfikowana</t>
  </si>
  <si>
    <t>O</t>
  </si>
  <si>
    <t xml:space="preserve">z ogółem sekcje PKD: </t>
  </si>
  <si>
    <t>Działalność finansowa i ubezpieczeniowa</t>
  </si>
  <si>
    <t>wzrost/spadek w proc.</t>
  </si>
  <si>
    <t>dynamika</t>
  </si>
  <si>
    <t>II p subsydia</t>
  </si>
  <si>
    <t>średnia liczba osób bezrobotnych na 1 ofertę pracy w roku</t>
  </si>
  <si>
    <t>średnia liczba osób bezrobotnych na 1 ofertę pracy w półroczu</t>
  </si>
  <si>
    <t>Aktywne formy promocji zatrudnienia zawierają również pozostałe aktywne formy.</t>
  </si>
  <si>
    <t>Ip '19</t>
  </si>
  <si>
    <t>18</t>
  </si>
  <si>
    <t>bezrobotni (ogółem)</t>
  </si>
  <si>
    <t>posiadający prawo do zasiłku ogółem - województwo</t>
  </si>
  <si>
    <t>Ip '07</t>
  </si>
  <si>
    <t>Ip '08</t>
  </si>
  <si>
    <t>Ip '09</t>
  </si>
  <si>
    <t>Ip '10</t>
  </si>
  <si>
    <t>Ip '11</t>
  </si>
  <si>
    <t>Ip '12</t>
  </si>
  <si>
    <t>Ip '13</t>
  </si>
  <si>
    <t>Ip '14</t>
  </si>
  <si>
    <t>Ip '15</t>
  </si>
  <si>
    <t>Ip '16</t>
  </si>
  <si>
    <t>Ip '17</t>
  </si>
  <si>
    <t>I półrocza</t>
  </si>
  <si>
    <t>oferty og. w roku</t>
  </si>
  <si>
    <t>w tym subs. w roku</t>
  </si>
  <si>
    <t xml:space="preserve">                  w okresach sprawozdawczych, województwo podkarpackie</t>
  </si>
  <si>
    <t xml:space="preserve">                    w okresach sprawozdawczych, województwo podkarpackie</t>
  </si>
  <si>
    <t xml:space="preserve">                     w okresie sprawozdawczym, województwo podkarpackie</t>
  </si>
  <si>
    <t xml:space="preserve">                     stan w końcu okresu, województwo podkarpackie</t>
  </si>
  <si>
    <t xml:space="preserve">                         w okresie sprawozdawczym, województwo podkarpackie</t>
  </si>
  <si>
    <t xml:space="preserve">                           w okresie sprawozdawczym, województwo podkarpackie</t>
  </si>
  <si>
    <t>lokata max</t>
  </si>
  <si>
    <t>lokata min</t>
  </si>
  <si>
    <t>lokata max sp.</t>
  </si>
  <si>
    <t>lokata min sp.</t>
  </si>
  <si>
    <t>do 30</t>
  </si>
  <si>
    <t>31-50</t>
  </si>
  <si>
    <t>pow.50</t>
  </si>
  <si>
    <t xml:space="preserve">wzrost/spadek </t>
  </si>
  <si>
    <t>(w proc.)</t>
  </si>
  <si>
    <t>do 30 roku życia</t>
  </si>
  <si>
    <t>do 50 roku życia</t>
  </si>
  <si>
    <t>spadek wynikający z konieczności wypłaty zasiłków</t>
  </si>
  <si>
    <t>1999=100%</t>
  </si>
  <si>
    <t>1999 r. dot. pracy stałej</t>
  </si>
  <si>
    <t>Zwyżki</t>
  </si>
  <si>
    <t>2014-2017</t>
  </si>
  <si>
    <t>subsydia w Ip. danego roku</t>
  </si>
  <si>
    <t>oferty og. w Ip. danego roku</t>
  </si>
  <si>
    <t>----</t>
  </si>
  <si>
    <t>**** Środki wydatkowane przez Powiatowe Urzędy Pracy w województwie podkarpackim, w ramach ustawy o szczególnych rozwiązaniach</t>
  </si>
  <si>
    <t>*** Kategoria ta od 2016 r. zawiera refundację wynagrodzeń osobom w wieku do 30 roku życia.</t>
  </si>
  <si>
    <t>19</t>
  </si>
  <si>
    <t>IP '20</t>
  </si>
  <si>
    <r>
      <t xml:space="preserve">                      </t>
    </r>
    <r>
      <rPr>
        <u/>
        <sz val="11"/>
        <color theme="1"/>
        <rFont val="Times New Roman"/>
        <family val="1"/>
        <charset val="238"/>
      </rPr>
      <t>Stan w końcu okresu</t>
    </r>
    <r>
      <rPr>
        <sz val="11"/>
        <color theme="1"/>
        <rFont val="Times New Roman"/>
        <family val="1"/>
        <charset val="238"/>
      </rPr>
      <t>, województwo podkarpackie</t>
    </r>
  </si>
  <si>
    <t>podjęcia pracy w ramach refundacji kosztów utworzenia stanowiska pracy</t>
  </si>
  <si>
    <t xml:space="preserve">                   stan w końcu okresu, województwo podkarpackie  c.d.</t>
  </si>
  <si>
    <t>20</t>
  </si>
  <si>
    <t>IP '21</t>
  </si>
  <si>
    <t>proc. do ogółem</t>
  </si>
  <si>
    <t>c.d. Tabela XVI. BEZROBOTNI DŁUGOTRWALE</t>
  </si>
  <si>
    <t>Tabela XV. BEZROBOTNI DO 30 ROKU ŻYCIA I POWYŻEJ 50 ROKU ŻYCIA  c.d.</t>
  </si>
  <si>
    <t>18-44</t>
  </si>
  <si>
    <t>45-60</t>
  </si>
  <si>
    <t>oferty pracy</t>
  </si>
  <si>
    <t>Oferty pracy zgłoszone do powiatowych urzędów pracy w województwie podkarpackim.</t>
  </si>
  <si>
    <t>sekcje PKD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</si>
  <si>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</si>
  <si>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</si>
  <si>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</si>
  <si>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</si>
  <si>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</si>
  <si>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</si>
  <si>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</si>
  <si>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</si>
  <si>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</si>
  <si>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</si>
  <si>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</si>
  <si>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</si>
  <si>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</si>
  <si>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</si>
  <si>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</si>
  <si>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</si>
  <si>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</si>
  <si>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</si>
  <si>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B-F</t>
  </si>
  <si>
    <t>H-U</t>
  </si>
  <si>
    <t>w proc.</t>
  </si>
  <si>
    <t>w tym osoby posiadające obywatelstwo ukraińskie *</t>
  </si>
  <si>
    <t>osoby posiadające obywatelestwo ukraińskie zarejestrowane jako poszukujący pracy *</t>
  </si>
  <si>
    <t>**Bezrobotny powyżej 50 roku życia – w dniu zastosowania wobec niego usług lub instrumentów rynku pracy ukończył co najmniej 50 rok życia.</t>
  </si>
  <si>
    <t>wzrost / spadek (liczba)</t>
  </si>
  <si>
    <t>wzrost / spadek w proc.</t>
  </si>
  <si>
    <t>w proc. *</t>
  </si>
  <si>
    <t>w proc.*</t>
  </si>
  <si>
    <t xml:space="preserve">* W jednocyfrowych grupach zawodów, odsetek w stosunku do liczby bezrobotnych ogółem z zawodem (B=100 proc.). </t>
  </si>
  <si>
    <t>** Wartości procentowe odpowiadające grupom dwucyfrowym obliczono dla danej grupy jednocyfrowej (GJ=100 proc.).</t>
  </si>
  <si>
    <t>*** Odsetek dla bezrobotnych bez zawodu w stosunku do "ogłóem" (A+B=100 proc.).</t>
  </si>
  <si>
    <t>wzrost/spadek (w proc.)</t>
  </si>
  <si>
    <t xml:space="preserve">* W jednocyfrowych grupach zawodów, odsetek w stosunku do liczby ofert ogółem z zawodem (B=100 proc.). </t>
  </si>
  <si>
    <t>*** Odsetek dla ofert bez zawodu w stosunku do "ogółem" (A+B=100 proc.).</t>
  </si>
  <si>
    <t>IP '22</t>
  </si>
  <si>
    <t>21</t>
  </si>
  <si>
    <t>dotychczas niepracujący</t>
  </si>
  <si>
    <t>kobiety z obywatelstwem ukraińskim zarejestrowane jako osoby bezrobotne</t>
  </si>
  <si>
    <t>kobiety z obywatelstwem ukraińskim zarejestrowane jako osoby poszukujące pracy</t>
  </si>
  <si>
    <t>udział bezrobotnych KOBIET z obywatelstwem ukraińskim w bezrobotnych ogółem z obywatelstwem ukraińskim (w proc.)</t>
  </si>
  <si>
    <t>najwyższy proc.</t>
  </si>
  <si>
    <t>najniższy proc.</t>
  </si>
  <si>
    <t>wyższe</t>
  </si>
  <si>
    <t>polic. i śr. zaw.</t>
  </si>
  <si>
    <t>śr. ogólnokszt.</t>
  </si>
  <si>
    <t>zas. zaw.</t>
  </si>
  <si>
    <t>gimn., podst. i niep. podst.</t>
  </si>
  <si>
    <t>wydatki w wartościach bezwzględnych</t>
  </si>
  <si>
    <t>rozkłady procentowe według poszczególnych kategorii</t>
  </si>
  <si>
    <t>proc. rozkład form aktywnych bez covid-u</t>
  </si>
  <si>
    <t>proc. rozkład form aktywnych z covid-em</t>
  </si>
  <si>
    <r>
      <t>Aktywne formy promocji zatrudnienia ze środkami wydatkowanymi w ramach Covid-19</t>
    </r>
    <r>
      <rPr>
        <vertAlign val="superscript"/>
        <sz val="16"/>
        <color theme="1"/>
        <rFont val="Times New Roman"/>
        <family val="1"/>
        <charset val="238"/>
      </rPr>
      <t>1</t>
    </r>
  </si>
  <si>
    <r>
      <t>Aktywne formy promocji zatrudnienia bez środków wydatkowanych w ramach Covid-19</t>
    </r>
    <r>
      <rPr>
        <vertAlign val="superscript"/>
        <sz val="16"/>
        <color theme="1"/>
        <rFont val="Times New Roman"/>
        <family val="1"/>
        <charset val="238"/>
      </rPr>
      <t>2</t>
    </r>
  </si>
  <si>
    <t xml:space="preserve">       staże</t>
  </si>
  <si>
    <t xml:space="preserve">  szkolenia*</t>
  </si>
  <si>
    <t xml:space="preserve">  prace interwencyjne</t>
  </si>
  <si>
    <t xml:space="preserve">  roboty publiczne</t>
  </si>
  <si>
    <t xml:space="preserve">  środki na podjęcie działalności gospodarczej</t>
  </si>
  <si>
    <t xml:space="preserve">  środki dla pracodawców na wyp. i doposażenie miejsc pracy</t>
  </si>
  <si>
    <t xml:space="preserve">  stypendia i składki na ubezpieczenia społeczne **</t>
  </si>
  <si>
    <t xml:space="preserve">  pozostałe aktywne formy ***</t>
  </si>
  <si>
    <r>
      <t>Środki wydatkowane z Funduszu Pracy w ramach interwencji COVID-19</t>
    </r>
    <r>
      <rPr>
        <sz val="16"/>
        <color theme="1"/>
        <rFont val="Times New Roman"/>
        <family val="1"/>
        <charset val="238"/>
      </rPr>
      <t xml:space="preserve"> (ogółem)</t>
    </r>
  </si>
  <si>
    <r>
      <rPr>
        <b/>
        <sz val="16"/>
        <color theme="1"/>
        <rFont val="Times New Roman"/>
        <family val="1"/>
        <charset val="238"/>
      </rPr>
      <t>Środki wydatkowane z Funduszu Pracy w ramach interwencji COVID-19</t>
    </r>
    <r>
      <rPr>
        <sz val="16"/>
        <color theme="1"/>
        <rFont val="Times New Roman"/>
        <family val="1"/>
        <charset val="238"/>
      </rPr>
      <t xml:space="preserve"> na podstawie art. 15zzd, </t>
    </r>
    <r>
      <rPr>
        <sz val="16"/>
        <color rgb="FFC00000"/>
        <rFont val="Times New Roman"/>
        <family val="1"/>
        <charset val="238"/>
      </rPr>
      <t>15zzda</t>
    </r>
    <r>
      <rPr>
        <sz val="16"/>
        <color theme="1"/>
        <rFont val="Times New Roman"/>
        <family val="1"/>
        <charset val="238"/>
      </rPr>
      <t xml:space="preserve">, 15zzb, 15zzc, 15zze i </t>
    </r>
    <r>
      <rPr>
        <sz val="16"/>
        <color rgb="FFC00000"/>
        <rFont val="Times New Roman"/>
        <family val="1"/>
        <charset val="238"/>
      </rPr>
      <t>15zze2</t>
    </r>
    <r>
      <rPr>
        <sz val="16"/>
        <color theme="1"/>
        <rFont val="Times New Roman"/>
        <family val="1"/>
        <charset val="238"/>
      </rPr>
      <t xml:space="preserve"> tj. z rezerwy **** </t>
    </r>
  </si>
  <si>
    <r>
      <rPr>
        <b/>
        <sz val="16"/>
        <color theme="1"/>
        <rFont val="Times New Roman"/>
        <family val="1"/>
        <charset val="238"/>
      </rPr>
      <t>Środki wydatkowane z Funduszu Pracy w ramach interwencji COVID-19</t>
    </r>
    <r>
      <rPr>
        <sz val="16"/>
        <color theme="1"/>
        <rFont val="Times New Roman"/>
        <family val="1"/>
        <charset val="238"/>
      </rPr>
      <t xml:space="preserve"> na podstawie art. 15zze</t>
    </r>
    <r>
      <rPr>
        <vertAlign val="superscript"/>
        <sz val="16"/>
        <color theme="1"/>
        <rFont val="Times New Roman"/>
        <family val="1"/>
        <charset val="238"/>
      </rPr>
      <t>4</t>
    </r>
    <r>
      <rPr>
        <sz val="16"/>
        <color theme="1"/>
        <rFont val="Times New Roman"/>
        <family val="1"/>
        <charset val="238"/>
      </rPr>
      <t xml:space="preserve"> tj. nie z rezerwy</t>
    </r>
    <r>
      <rPr>
        <vertAlign val="superscript"/>
        <sz val="16"/>
        <color theme="1"/>
        <rFont val="Times New Roman"/>
        <family val="1"/>
        <charset val="238"/>
      </rPr>
      <t>3</t>
    </r>
  </si>
  <si>
    <t>Formy aktywne i zasiłki dla bezrobotnych oraz wydatki w ramach COVID-19  i  kategoria "inne" sumują się do ogółem wydatków realizowanych z FP.</t>
  </si>
  <si>
    <t xml:space="preserve">         związanych z zapobieganiem, przeciwdziałaniem i zwalczaniem COVID-19,  innych chorób zakaźnych oraz wywołanych nimi</t>
  </si>
  <si>
    <t xml:space="preserve">         sytuacji kryzysowych. Nie zawierają części pomocy państwowej, wydatkowanej przez Fundusz Gwarantowanych Świadczeń Pracowniczych.</t>
  </si>
  <si>
    <t>dla bezrobotnych i pracodawców. Aktywnymi formami są również środki wydatkowane z FP w ramach przeciwdziałania SARS-CoV-2 na podstawie odrębnych przepisów.</t>
  </si>
  <si>
    <t xml:space="preserve">    z dnia 16 października 2020 r. w sprawie ogłoszenia jednolitego tekstu ustawy o szczególnych rozwiązaniach</t>
  </si>
  <si>
    <t xml:space="preserve">    związanych z zapobieganiem, przeciwdziałaniem i zwalczaniem COVID-19, innych chorób zakaźnych oraz wywołanych nimi sytuacji kryzysowych.</t>
  </si>
  <si>
    <t>wyłączeni z rejestru bez utraty statusu bezrobtnych (w sensie prawnym)</t>
  </si>
  <si>
    <r>
      <rPr>
        <vertAlign val="superscript"/>
        <sz val="14"/>
        <color theme="1"/>
        <rFont val="Times New Roman"/>
        <family val="1"/>
        <charset val="238"/>
      </rPr>
      <t>1</t>
    </r>
    <r>
      <rPr>
        <sz val="14"/>
        <color theme="1"/>
        <rFont val="Times New Roman"/>
        <family val="1"/>
        <charset val="238"/>
      </rPr>
      <t xml:space="preserve"> Wydatki na formy wsparcia zatrudnienia (ogółem) są obliczane razem z wydatkami poniesionymi w ramach COVID-19.</t>
    </r>
  </si>
  <si>
    <r>
      <t xml:space="preserve">Tradycyjne </t>
    </r>
    <r>
      <rPr>
        <b/>
        <sz val="14"/>
        <color theme="1"/>
        <rFont val="Times New Roman"/>
        <family val="1"/>
        <charset val="238"/>
      </rPr>
      <t>aktywne formy promocji zatrudnienia</t>
    </r>
    <r>
      <rPr>
        <sz val="14"/>
        <color theme="1"/>
        <rFont val="Times New Roman"/>
        <family val="1"/>
        <charset val="238"/>
      </rPr>
      <t xml:space="preserve"> to np. szkolenia i przekwalifikowania, prace interwencyjne i roboty publiczne, pożyczki</t>
    </r>
  </si>
  <si>
    <r>
      <rPr>
        <vertAlign val="superscript"/>
        <sz val="14"/>
        <color theme="1"/>
        <rFont val="Times New Roman"/>
        <family val="1"/>
        <charset val="238"/>
      </rPr>
      <t xml:space="preserve">3 </t>
    </r>
    <r>
      <rPr>
        <sz val="14"/>
        <color theme="1"/>
        <rFont val="Times New Roman"/>
        <family val="1"/>
        <charset val="238"/>
      </rPr>
      <t xml:space="preserve">  Na podstawie przepisów Dz.U. 2020 poz. 1842 Obwieszczenie Marszałka Sejmu Rzeczypospolitej Polskiej </t>
    </r>
  </si>
  <si>
    <t>30 VI 2023</t>
  </si>
  <si>
    <t>I półrocze 2023</t>
  </si>
  <si>
    <t>30 VI '23</t>
  </si>
  <si>
    <t>wzrost/spadek do XII '23 (liczba)</t>
  </si>
  <si>
    <t>Ip 2023</t>
  </si>
  <si>
    <t>Wskaźnik zatrudnienia - jako udział osób pracujących w liczbie ludności 15-89 ogółem lub dla danej grupy.</t>
  </si>
  <si>
    <t>15-24 lata</t>
  </si>
  <si>
    <t>wg poziomu wykształcenia</t>
  </si>
  <si>
    <t>gimnazjalne, podstawowe, niepełne podstawowe i bez wykształcenia szkolnego</t>
  </si>
  <si>
    <t>W tablicy zostały wykorzystane dane opublikowane na stronie internetowej GUS.</t>
  </si>
  <si>
    <t>www.stat.gov.pl,  Bank Danych Lokalnych.</t>
  </si>
  <si>
    <t>* Ostatni z opisywanych lat do roku poprzedniego. Wzrost lub spadek w pkt. proc.</t>
  </si>
  <si>
    <t>22</t>
  </si>
  <si>
    <t>18-59/64</t>
  </si>
  <si>
    <t>wg przedziałów wieku [w latach]</t>
  </si>
  <si>
    <t>50-89</t>
  </si>
  <si>
    <r>
      <t xml:space="preserve">województwo podkarpackie, </t>
    </r>
    <r>
      <rPr>
        <sz val="9"/>
        <color theme="1"/>
        <rFont val="Times New Roman"/>
        <family val="1"/>
        <charset val="238"/>
      </rPr>
      <t>ogółem 15-89</t>
    </r>
  </si>
  <si>
    <r>
      <t xml:space="preserve">Polska, </t>
    </r>
    <r>
      <rPr>
        <sz val="9"/>
        <color theme="1"/>
        <rFont val="Times New Roman"/>
        <family val="1"/>
        <charset val="238"/>
      </rPr>
      <t>ogółem 15-89</t>
    </r>
  </si>
  <si>
    <t>IP '23</t>
  </si>
  <si>
    <t>w okresie I półrocza 2023 roku</t>
  </si>
  <si>
    <t>w I półroczu 2023 roku</t>
  </si>
  <si>
    <t>oferty pracy w Ip 2023 r.</t>
  </si>
  <si>
    <t>I p 2023</t>
  </si>
  <si>
    <t>liczba bezrobotnych 30 VI 2023</t>
  </si>
  <si>
    <t>B_2023</t>
  </si>
  <si>
    <t>Ip.23</t>
  </si>
  <si>
    <t>Ip.22</t>
  </si>
  <si>
    <t>Ip.98</t>
  </si>
  <si>
    <t>Ip.99</t>
  </si>
  <si>
    <t>Ip.00</t>
  </si>
  <si>
    <t>Ip.01</t>
  </si>
  <si>
    <t>Ip.02</t>
  </si>
  <si>
    <t>Ip.03</t>
  </si>
  <si>
    <t>Ip.04</t>
  </si>
  <si>
    <t>Ip.05</t>
  </si>
  <si>
    <t>Ip.06</t>
  </si>
  <si>
    <t>Ip.07</t>
  </si>
  <si>
    <t>Ip.08</t>
  </si>
  <si>
    <t>Ip.09</t>
  </si>
  <si>
    <t>Ip.10</t>
  </si>
  <si>
    <t>Ip.11</t>
  </si>
  <si>
    <t>Ip.12</t>
  </si>
  <si>
    <t>Ip.13</t>
  </si>
  <si>
    <t>Ip.14</t>
  </si>
  <si>
    <t>Ip.15</t>
  </si>
  <si>
    <t>Ip.16</t>
  </si>
  <si>
    <t>Ip.17</t>
  </si>
  <si>
    <t>Ip.18</t>
  </si>
  <si>
    <t>Ip.19</t>
  </si>
  <si>
    <t>Ip.20</t>
  </si>
  <si>
    <t>Ip.21</t>
  </si>
  <si>
    <t>w Ip 23 r.</t>
  </si>
  <si>
    <t>udział w bezrobotnych ogółem (proc.)</t>
  </si>
  <si>
    <t>lokata max kol. 3</t>
  </si>
  <si>
    <t>lokata min kol. 3</t>
  </si>
  <si>
    <t>wzrost/spadek do XII 23 (pkt. proc.)</t>
  </si>
  <si>
    <t>lokata</t>
  </si>
  <si>
    <t>* Są to osoby, zarejestrowane wg stanu na dzień. Na posdtawie SI "Cezar".</t>
  </si>
  <si>
    <t>31 XII 2023</t>
  </si>
  <si>
    <t>30 VI 2024</t>
  </si>
  <si>
    <t>31 XII '23</t>
  </si>
  <si>
    <t>30 VI '24</t>
  </si>
  <si>
    <t>30 VI "23</t>
  </si>
  <si>
    <t>31 XII '23*</t>
  </si>
  <si>
    <t>wzrost/spadek do VI 23 (pkt. proc.)</t>
  </si>
  <si>
    <t>LICZBA BEZROBOTNYCH ogółem, stan na 30 VI 2024</t>
  </si>
  <si>
    <t>LICZBA POSZUKUJĄCYCH PRACY ogółem, stan na 30 VI 2024</t>
  </si>
  <si>
    <t>II półrocze 2023</t>
  </si>
  <si>
    <t>2023 rok</t>
  </si>
  <si>
    <t>I półrocze 2024</t>
  </si>
  <si>
    <t>- podjęcia pracy w ramach grantu na utworzenie stanowiska pracy zdalnej</t>
  </si>
  <si>
    <t>I p 2024</t>
  </si>
  <si>
    <t>IIp 2023</t>
  </si>
  <si>
    <t>Ip 2024</t>
  </si>
  <si>
    <t>23</t>
  </si>
  <si>
    <t/>
  </si>
  <si>
    <t>Ip '24</t>
  </si>
  <si>
    <t>w okresie I półrocza 2024 roku</t>
  </si>
  <si>
    <t>bezrobotni skierowani na szkolenie</t>
  </si>
  <si>
    <t>wzrost/spadek ogółem
(liczba)</t>
  </si>
  <si>
    <t xml:space="preserve"> 31 XII 2023=100 proc.</t>
  </si>
  <si>
    <t>PÓŁROCZE</t>
  </si>
  <si>
    <t>ANALOGICZNY STAN - ROK DO ROKU</t>
  </si>
  <si>
    <t>31 XII 23=100 proc.</t>
  </si>
  <si>
    <t>30 VI 23=100 proc.</t>
  </si>
  <si>
    <t xml:space="preserve">30 VI 23=100 proc. </t>
  </si>
  <si>
    <t>wzrost/spadek 31 XII 23=100 proc.
(liczba)</t>
  </si>
  <si>
    <t>wzrost / spadek 31 XII 23=100 proc.   (w proc.)</t>
  </si>
  <si>
    <t>wzrost/spadek 30 VI 23=100 proc.
(liczba)</t>
  </si>
  <si>
    <t>wzrost/spadek 30 VI 23=100 proc.  (w proc.)</t>
  </si>
  <si>
    <t>w Ip 24 r.</t>
  </si>
  <si>
    <t>liczba bezrobotnych 30 VI 2024</t>
  </si>
  <si>
    <t>w okresie I półrocza 2024 r.</t>
  </si>
  <si>
    <t>Ip.24</t>
  </si>
  <si>
    <t>B_2024</t>
  </si>
  <si>
    <t>oferty pracy w Ip 2024 r.</t>
  </si>
  <si>
    <t>w Ip. 2023 roku</t>
  </si>
  <si>
    <t>w Ip 2024 roku</t>
  </si>
  <si>
    <t>w I półroczu 2024 roku</t>
  </si>
  <si>
    <t>30 VI 24 r.</t>
  </si>
  <si>
    <t>Ip 24 r. w proc. (w ogółem, dla danej kategorii)</t>
  </si>
  <si>
    <t>Zgodnie z tablicami długości życia</t>
  </si>
  <si>
    <t>udzial kobiet maleje wśtód osób młodych</t>
  </si>
  <si>
    <t>w populacji bezrobotnych, co jest przełożeniem procesów z ogólnej populacji ludności</t>
  </si>
  <si>
    <t>udział kobiet rośnie wśród osób starszych</t>
  </si>
  <si>
    <t>Spadek liczby kobiet bezrobotnych długotrwale.</t>
  </si>
  <si>
    <t>Spadek kobiet długotrwale bezrobotnych następuje rónież w stosunku do ilości bezr. długotrw. [ogółem].</t>
  </si>
  <si>
    <t>dynamika spadków 30-06-2024 do 31-12-2023 w poszcz. grupach</t>
  </si>
  <si>
    <t>Źrodło: SI "Cesar", 18-07-2024 r.</t>
  </si>
  <si>
    <t>krośnieński + mnpp</t>
  </si>
  <si>
    <t>mnpp - Miasto na prawach powiatu łącznie z powiatami. Dotyczy Krosna, Rzeszowa, Praemyśla i Tarnobrzega.</t>
  </si>
  <si>
    <t>przemyski + mnpp</t>
  </si>
  <si>
    <t>rzeszowski + mnpp</t>
  </si>
  <si>
    <t>tarnobrzeski + mnpp</t>
  </si>
  <si>
    <t>30 VI 23 r.</t>
  </si>
  <si>
    <t>wzrost/spadek do Ip 23</t>
  </si>
  <si>
    <t>wzrost lub spadek w por. do I półrocza 23</t>
  </si>
  <si>
    <t xml:space="preserve"> zwolnień zgłoszonych z roku poprzedniego.</t>
  </si>
  <si>
    <t>W niektórych okresach następuje kontynuacja</t>
  </si>
  <si>
    <t>wzrost/spadek do VI '23 (liczba)</t>
  </si>
  <si>
    <t xml:space="preserve">                   w końcu okresu, województwo podkarpackie</t>
  </si>
  <si>
    <t xml:space="preserve">                    stan w końcu okresu</t>
  </si>
  <si>
    <t>Tabela III.  OSOBY POSIADAJĄCE OBYWATELSTWO</t>
  </si>
  <si>
    <t xml:space="preserve">                   UKRAIŃSKIE ZAREJESTROWANE JAKO BEZROBOTNI W PUP</t>
  </si>
  <si>
    <t xml:space="preserve">                   wg powiatów, stan w końcu okresu</t>
  </si>
  <si>
    <t>Tabela IV.   BEZROBOTNI ZAREJESTROWANI "NAPŁYW"</t>
  </si>
  <si>
    <t>Tabela V.   "NAPŁYW" BEZROBOTNYCH W POWIATACH</t>
  </si>
  <si>
    <t xml:space="preserve">Tabela VI.  BEZROBOTNI WYŁĄCZENI Z REJESTRU "ODPŁYW" </t>
  </si>
  <si>
    <t xml:space="preserve">                  w okresie sprawozdawczym, województwo podkarpackie</t>
  </si>
  <si>
    <t>Tabela VII.   BEZROBOTNI, KTÓRZY PODJĘLI PRACĘ</t>
  </si>
  <si>
    <t>Tabela VIII.   "ODPŁYW" BEZROBOTNYCH W POWIATACH</t>
  </si>
  <si>
    <t>Tabela IX.    BEZROBOTNI POSIADAJĄCY PRAWO DO ZASIŁKU</t>
  </si>
  <si>
    <t>Tabela XIII.    BEZROBOTNI ZAMIESZKALI NA WSI</t>
  </si>
  <si>
    <t xml:space="preserve">                         stan w końcu okresu, województwo podkarpackie</t>
  </si>
  <si>
    <t>Tabela XIV. BEZROBOTNI W SZCZEGÓLNEJ SYTUACJI</t>
  </si>
  <si>
    <t xml:space="preserve">                      stan w końcu okresu, województwo podkarpackie</t>
  </si>
  <si>
    <t xml:space="preserve">                       stan w końcu okresu, województwo podkarpackie</t>
  </si>
  <si>
    <t xml:space="preserve">                  stan w końcu okresu</t>
  </si>
  <si>
    <t>Tabela XXV   Aktywne formy promocji zatrudnienia wg powiatów. Liczba bezrobotnych aktywizowanych w ramach poszczególnych form,</t>
  </si>
  <si>
    <t xml:space="preserve">                       średnio w danym roku</t>
  </si>
  <si>
    <t>Tabela X. BEZROBOTNI WG WIEKU,</t>
  </si>
  <si>
    <t>Tabela XI. BEZROBOTNI WG WYKSZTAŁCENIA,</t>
  </si>
  <si>
    <t>Tabela XII. BEZROBOTNI WG STAŻU PRACY,</t>
  </si>
  <si>
    <t>stan w końcu okresu, porównanie zmian w półroczu</t>
  </si>
  <si>
    <t xml:space="preserve">                      NA RYNKU PRACY,</t>
  </si>
  <si>
    <t>stan w końcu okresu, porównanie stanów - czerwiec do czerwca</t>
  </si>
  <si>
    <t>Tabela XV. BEZROBOTNI W SZCZEGÓLNEJ SYTUACJI</t>
  </si>
  <si>
    <t>Tabela XVI. BEZROBOTNI WG WIEKU, W TYM DO 30 ROKU ŻYCIA I POWYŻEJ 50 ROKU ŻYCIA,</t>
  </si>
  <si>
    <t>Tabela XVII.  BEZROBOTNI DO 30 ROKU ŻYCIA I POWYŻEJ 50 ROKU ŻYCIA,</t>
  </si>
  <si>
    <t>Tabela XVIII.  BEZROBOTNI DŁUGOTRWALE</t>
  </si>
  <si>
    <t xml:space="preserve">Tabela XIX.      OFERTY  PRACY   WG </t>
  </si>
  <si>
    <t xml:space="preserve">                           POLSKIEJ KLASYFIKACJI DZIAŁALNOŚCI (PKD),</t>
  </si>
  <si>
    <t>Tabela XX.  ZMIANY ILOŚCI BEZROBOTNYCH WG GRUP ZAWODOWYCH,</t>
  </si>
  <si>
    <t>Tabela XXI.   BEROBOTNI WG GRUP ZAWODÓW,</t>
  </si>
  <si>
    <t>Tabela XXII.     Wolne miejsca pracy i miejsca aktywizacji zawodowej zgłoszone</t>
  </si>
  <si>
    <t xml:space="preserve">                           przez pracodawców do PUP,</t>
  </si>
  <si>
    <t>Tabela XXIII.    ZMIANY W LICZBIE WOLNYCH MIEJSC PRACY</t>
  </si>
  <si>
    <t xml:space="preserve">                           I MIEJSC AKTYWIZACJI ZAWODOWEJ ZGŁOSZONYCH PRZEZ PRACODAWCÓW DO PUP,</t>
  </si>
  <si>
    <t xml:space="preserve">Tabela XXIV.  WOLNE MIEJSCA PRACY I MIEJSCA AKTYWIZACJI ZAWODOWEJ  ZGŁOSZONE </t>
  </si>
  <si>
    <t xml:space="preserve">                         PRZEZ PRACODAWCÓW DO PUP,</t>
  </si>
  <si>
    <r>
      <t xml:space="preserve">Tabela XXV.  </t>
    </r>
    <r>
      <rPr>
        <b/>
        <sz val="11"/>
        <color theme="1"/>
        <rFont val="Times New Roman"/>
        <family val="1"/>
        <charset val="238"/>
      </rPr>
      <t>WYDATKI  REALIZOWANE  Z  FUNDUSZU  PRACY</t>
    </r>
  </si>
  <si>
    <t>tabela zawiera formy promocjI zatrudnienia, informację o części środków wydatkowanych z Funduszu Pracy</t>
  </si>
  <si>
    <t>Część środków wydatkowanych w ramach Funduszu Gwarantowanych Świadczeń Pracowniczych zawiera odp. rozdział analizy.</t>
  </si>
  <si>
    <t>w okresie sprawozdawczym, województwo podkarpackie</t>
  </si>
  <si>
    <t>na przeciwdziałanie SARS-CoV-2 w województwie podkarpackim.</t>
  </si>
  <si>
    <r>
      <rPr>
        <vertAlign val="superscript"/>
        <sz val="14"/>
        <color theme="1"/>
        <rFont val="Times New Roman"/>
        <family val="1"/>
        <charset val="238"/>
      </rPr>
      <t>2</t>
    </r>
    <r>
      <rPr>
        <sz val="14"/>
        <color theme="1"/>
        <rFont val="Times New Roman"/>
        <family val="1"/>
        <charset val="238"/>
      </rPr>
      <t xml:space="preserve"> Wydatki na aktywne formy promocji zatrudnienia zostały obliczone bez wydatków w ramach COVID-19. Zawierają dotychczas stosowane aktywne formy i zachowują tym samym możliwość porównania</t>
    </r>
  </si>
  <si>
    <t>w stosunku do okresów wcześniejszych. Posiadają zakres odpowiadający przepisom ustawy o promocji zatrudnienia i instytucjach rynku pracy.</t>
  </si>
  <si>
    <r>
      <rPr>
        <b/>
        <sz val="14"/>
        <color theme="1"/>
        <rFont val="Times New Roman"/>
        <family val="1"/>
        <charset val="238"/>
      </rPr>
      <t>Pasywne formy</t>
    </r>
    <r>
      <rPr>
        <sz val="14"/>
        <color theme="1"/>
        <rFont val="Times New Roman"/>
        <family val="1"/>
        <charset val="238"/>
      </rPr>
      <t xml:space="preserve"> (tzw. programy osłonowe) są to zasiłki dla osób bezrobotnych oraz zasiłki i świadczenia przedemerytalne.</t>
    </r>
  </si>
  <si>
    <t>Tabela XXVI   Aktywne formy promocji zatrudnienia wg powiatów. Liczba bezrobotnych aktywizowanych w ramach poszczególnych form,</t>
  </si>
  <si>
    <r>
      <t xml:space="preserve">Tabela XXVII.  </t>
    </r>
    <r>
      <rPr>
        <b/>
        <sz val="11"/>
        <color theme="1"/>
        <rFont val="Times New Roman"/>
        <family val="1"/>
        <charset val="238"/>
      </rPr>
      <t>ZGŁOSZENIA ZWOLNIEŃ</t>
    </r>
    <r>
      <rPr>
        <sz val="11"/>
        <color theme="1"/>
        <rFont val="Times New Roman"/>
        <family val="1"/>
        <charset val="238"/>
      </rPr>
      <t xml:space="preserve"> Z PRZYCZYN NIEDOTYCZĄCYCH PRACOWNIKÓW</t>
    </r>
  </si>
  <si>
    <t xml:space="preserve">                          w okresie sprawozdawczym</t>
  </si>
  <si>
    <t>Tabela XXVII.   WSKAŹNIK  ZATRUDNIENIA,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</si>
</sst>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#,##0.000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C0000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vertAlign val="superscript"/>
      <sz val="16"/>
      <color theme="1"/>
      <name val="Times New Roman"/>
      <family val="1"/>
      <charset val="238"/>
    </font>
    <font>
      <sz val="17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vertAlign val="superscript"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FF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7F7F7F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EEFE2"/>
        <bgColor indexed="64"/>
      </patternFill>
    </fill>
    <fill>
      <patternFill patternType="solid">
        <fgColor rgb="FFFFF2E5"/>
        <bgColor indexed="64"/>
      </patternFill>
    </fill>
    <fill>
      <patternFill patternType="solid">
        <fgColor theme="9" tint="0.79998168889431442"/>
        <bgColor rgb="FF000000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0"/>
      </top>
      <bottom/>
      <diagonal/>
    </border>
    <border>
      <left style="thin">
        <color indexed="64"/>
      </left>
      <right style="medium">
        <color indexed="64"/>
      </right>
      <top style="thin">
        <color indexed="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2">
    <xf numFmtId="0" fontId="0" fillId="0" borderId="0"/>
    <xf numFmtId="0" fontId="2" fillId="0" borderId="0">
      <alignment horizontal="right"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>
      <alignment horizontal="right" vertical="center"/>
    </xf>
    <xf numFmtId="0" fontId="14" fillId="0" borderId="0">
      <alignment horizontal="left" vertical="center"/>
    </xf>
    <xf numFmtId="0" fontId="2" fillId="0" borderId="0">
      <alignment horizontal="left" vertical="center"/>
    </xf>
    <xf numFmtId="0" fontId="14" fillId="0" borderId="0">
      <alignment horizontal="left" vertical="center"/>
    </xf>
    <xf numFmtId="0" fontId="2" fillId="0" borderId="0">
      <alignment horizontal="right" vertical="center"/>
    </xf>
    <xf numFmtId="0" fontId="14" fillId="0" borderId="0">
      <alignment horizontal="right" vertical="center"/>
    </xf>
    <xf numFmtId="0" fontId="14" fillId="0" borderId="0">
      <alignment horizontal="right" vertical="center"/>
    </xf>
    <xf numFmtId="0" fontId="13" fillId="0" borderId="0">
      <alignment horizontal="right" vertical="center"/>
    </xf>
  </cellStyleXfs>
  <cellXfs count="1170">
    <xf numFmtId="0" fontId="0" fillId="0" borderId="0" xfId="0"/>
    <xf numFmtId="0" fontId="1" fillId="2" borderId="0" xfId="0" applyFont="1" applyFill="1"/>
    <xf numFmtId="0" fontId="0" fillId="2" borderId="0" xfId="0" applyFill="1"/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8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33" xfId="0" applyFont="1" applyFill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83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3" fontId="6" fillId="2" borderId="84" xfId="0" applyNumberFormat="1" applyFont="1" applyFill="1" applyBorder="1" applyAlignment="1">
      <alignment horizontal="center" vertical="center"/>
    </xf>
    <xf numFmtId="3" fontId="6" fillId="2" borderId="83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3" fontId="4" fillId="2" borderId="51" xfId="0" applyNumberFormat="1" applyFont="1" applyFill="1" applyBorder="1" applyAlignment="1">
      <alignment horizontal="center" vertical="center"/>
    </xf>
    <xf numFmtId="166" fontId="4" fillId="2" borderId="49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4" fillId="2" borderId="82" xfId="0" applyNumberFormat="1" applyFont="1" applyFill="1" applyBorder="1" applyAlignment="1">
      <alignment horizontal="center" vertical="center"/>
    </xf>
    <xf numFmtId="166" fontId="4" fillId="2" borderId="27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7" fillId="2" borderId="0" xfId="0" applyFont="1" applyFill="1"/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left"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9" fontId="4" fillId="2" borderId="19" xfId="0" applyNumberFormat="1" applyFont="1" applyFill="1" applyBorder="1" applyAlignment="1">
      <alignment horizontal="left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166" fontId="4" fillId="2" borderId="20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 indent="2"/>
    </xf>
    <xf numFmtId="166" fontId="4" fillId="2" borderId="21" xfId="0" applyNumberFormat="1" applyFont="1" applyFill="1" applyBorder="1" applyAlignment="1">
      <alignment horizontal="center" vertical="center"/>
    </xf>
    <xf numFmtId="3" fontId="4" fillId="2" borderId="9" xfId="0" quotePrefix="1" applyNumberFormat="1" applyFont="1" applyFill="1" applyBorder="1" applyAlignment="1">
      <alignment horizontal="center" vertical="center"/>
    </xf>
    <xf numFmtId="166" fontId="4" fillId="2" borderId="21" xfId="0" quotePrefix="1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63" xfId="0" applyNumberFormat="1" applyFont="1" applyFill="1" applyBorder="1" applyAlignment="1">
      <alignment horizontal="left" vertical="center" wrapText="1"/>
    </xf>
    <xf numFmtId="166" fontId="4" fillId="2" borderId="78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/>
    </xf>
    <xf numFmtId="166" fontId="4" fillId="2" borderId="77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3" fontId="4" fillId="2" borderId="11" xfId="0" quotePrefix="1" applyNumberFormat="1" applyFont="1" applyFill="1" applyBorder="1" applyAlignment="1">
      <alignment horizontal="center" vertical="center"/>
    </xf>
    <xf numFmtId="166" fontId="4" fillId="2" borderId="59" xfId="0" quotePrefix="1" applyNumberFormat="1" applyFont="1" applyFill="1" applyBorder="1" applyAlignment="1">
      <alignment horizontal="center" vertical="center"/>
    </xf>
    <xf numFmtId="166" fontId="4" fillId="2" borderId="59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2"/>
    </xf>
    <xf numFmtId="49" fontId="4" fillId="2" borderId="63" xfId="0" applyNumberFormat="1" applyFont="1" applyFill="1" applyBorder="1" applyAlignment="1">
      <alignment horizontal="left" vertical="center" wrapText="1" indent="2"/>
    </xf>
    <xf numFmtId="3" fontId="4" fillId="2" borderId="51" xfId="0" quotePrefix="1" applyNumberFormat="1" applyFont="1" applyFill="1" applyBorder="1" applyAlignment="1">
      <alignment horizontal="center" vertical="center"/>
    </xf>
    <xf numFmtId="166" fontId="4" fillId="2" borderId="78" xfId="0" quotePrefix="1" applyNumberFormat="1" applyFont="1" applyFill="1" applyBorder="1" applyAlignment="1">
      <alignment horizontal="center" vertical="center"/>
    </xf>
    <xf numFmtId="0" fontId="0" fillId="2" borderId="0" xfId="0" applyFont="1" applyFill="1"/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quotePrefix="1" applyNumberFormat="1" applyFont="1" applyFill="1" applyBorder="1" applyAlignment="1">
      <alignment horizontal="center" vertical="center"/>
    </xf>
    <xf numFmtId="3" fontId="4" fillId="2" borderId="63" xfId="0" quotePrefix="1" applyNumberFormat="1" applyFont="1" applyFill="1" applyBorder="1" applyAlignment="1">
      <alignment horizontal="center" vertical="center"/>
    </xf>
    <xf numFmtId="3" fontId="4" fillId="2" borderId="33" xfId="0" quotePrefix="1" applyNumberFormat="1" applyFont="1" applyFill="1" applyBorder="1" applyAlignment="1">
      <alignment horizontal="center" vertical="center"/>
    </xf>
    <xf numFmtId="3" fontId="6" fillId="2" borderId="84" xfId="0" applyNumberFormat="1" applyFont="1" applyFill="1" applyBorder="1" applyAlignment="1">
      <alignment horizontal="center" vertical="center" wrapText="1"/>
    </xf>
    <xf numFmtId="166" fontId="6" fillId="2" borderId="80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4" fillId="2" borderId="12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166" fontId="4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6" fillId="2" borderId="26" xfId="0" applyNumberFormat="1" applyFont="1" applyFill="1" applyBorder="1" applyAlignment="1">
      <alignment horizontal="center" vertical="center" wrapText="1"/>
    </xf>
    <xf numFmtId="166" fontId="6" fillId="2" borderId="27" xfId="0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8" xfId="2" applyNumberFormat="1" applyFont="1" applyFill="1" applyBorder="1" applyAlignment="1">
      <alignment horizontal="center" vertical="center" wrapText="1"/>
    </xf>
    <xf numFmtId="166" fontId="4" fillId="2" borderId="8" xfId="3" applyNumberFormat="1" applyFont="1" applyFill="1" applyBorder="1" applyAlignment="1">
      <alignment horizontal="center" vertical="center" wrapText="1"/>
    </xf>
    <xf numFmtId="166" fontId="4" fillId="2" borderId="45" xfId="0" applyNumberFormat="1" applyFont="1" applyFill="1" applyBorder="1" applyAlignment="1">
      <alignment horizontal="center" vertical="center" wrapText="1"/>
    </xf>
    <xf numFmtId="166" fontId="4" fillId="2" borderId="39" xfId="3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6" fontId="4" fillId="2" borderId="13" xfId="0" applyNumberFormat="1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2"/>
    </xf>
    <xf numFmtId="3" fontId="4" fillId="2" borderId="85" xfId="0" applyNumberFormat="1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3" fontId="6" fillId="2" borderId="50" xfId="0" applyNumberFormat="1" applyFont="1" applyFill="1" applyBorder="1" applyAlignment="1">
      <alignment horizontal="center" vertical="center"/>
    </xf>
    <xf numFmtId="166" fontId="6" fillId="2" borderId="3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3" fontId="4" fillId="2" borderId="61" xfId="0" applyNumberFormat="1" applyFont="1" applyFill="1" applyBorder="1" applyAlignment="1">
      <alignment horizontal="center" vertical="center"/>
    </xf>
    <xf numFmtId="166" fontId="4" fillId="2" borderId="62" xfId="0" applyNumberFormat="1" applyFont="1" applyFill="1" applyBorder="1" applyAlignment="1">
      <alignment horizontal="center" vertical="center"/>
    </xf>
    <xf numFmtId="3" fontId="4" fillId="2" borderId="73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166" fontId="4" fillId="2" borderId="17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4" fillId="2" borderId="74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8" fillId="3" borderId="2" xfId="0" quotePrefix="1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6" fontId="8" fillId="3" borderId="45" xfId="0" applyNumberFormat="1" applyFont="1" applyFill="1" applyBorder="1" applyAlignment="1">
      <alignment horizontal="center" vertical="center"/>
    </xf>
    <xf numFmtId="3" fontId="8" fillId="3" borderId="7" xfId="0" quotePrefix="1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wrapText="1"/>
    </xf>
    <xf numFmtId="3" fontId="8" fillId="3" borderId="9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3" borderId="45" xfId="0" applyNumberFormat="1" applyFont="1" applyFill="1" applyBorder="1" applyAlignment="1">
      <alignment horizontal="center" vertical="center"/>
    </xf>
    <xf numFmtId="3" fontId="8" fillId="3" borderId="51" xfId="0" applyNumberFormat="1" applyFont="1" applyFill="1" applyBorder="1" applyAlignment="1">
      <alignment horizontal="center" vertical="center"/>
    </xf>
    <xf numFmtId="3" fontId="8" fillId="3" borderId="46" xfId="0" applyNumberFormat="1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wrapText="1"/>
    </xf>
    <xf numFmtId="3" fontId="8" fillId="3" borderId="11" xfId="0" applyNumberFormat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54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166" fontId="8" fillId="3" borderId="0" xfId="0" applyNumberFormat="1" applyFont="1" applyFill="1" applyBorder="1" applyAlignment="1">
      <alignment horizontal="center" vertical="center"/>
    </xf>
    <xf numFmtId="3" fontId="8" fillId="3" borderId="0" xfId="0" quotePrefix="1" applyNumberFormat="1" applyFont="1" applyFill="1" applyBorder="1" applyAlignment="1">
      <alignment horizontal="center" vertical="center"/>
    </xf>
    <xf numFmtId="0" fontId="8" fillId="3" borderId="0" xfId="0" applyFont="1" applyFill="1" applyBorder="1"/>
    <xf numFmtId="0" fontId="8" fillId="3" borderId="19" xfId="0" applyFont="1" applyFill="1" applyBorder="1" applyAlignment="1">
      <alignment horizontal="left" wrapText="1" indent="3"/>
    </xf>
    <xf numFmtId="0" fontId="6" fillId="2" borderId="55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wrapText="1"/>
    </xf>
    <xf numFmtId="165" fontId="4" fillId="2" borderId="27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7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71" xfId="0" applyFont="1" applyFill="1" applyBorder="1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82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justify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 vertical="center" wrapText="1"/>
    </xf>
    <xf numFmtId="165" fontId="8" fillId="2" borderId="4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3" fontId="8" fillId="2" borderId="27" xfId="0" applyNumberFormat="1" applyFont="1" applyFill="1" applyBorder="1" applyAlignment="1">
      <alignment horizontal="center" vertical="center" wrapText="1"/>
    </xf>
    <xf numFmtId="165" fontId="10" fillId="2" borderId="27" xfId="0" applyNumberFormat="1" applyFont="1" applyFill="1" applyBorder="1" applyAlignment="1">
      <alignment horizontal="center" vertical="center" wrapText="1"/>
    </xf>
    <xf numFmtId="165" fontId="10" fillId="2" borderId="10" xfId="0" applyNumberFormat="1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65" fontId="10" fillId="2" borderId="49" xfId="0" applyNumberFormat="1" applyFont="1" applyFill="1" applyBorder="1" applyAlignment="1">
      <alignment horizontal="center" vertical="center" wrapText="1"/>
    </xf>
    <xf numFmtId="166" fontId="4" fillId="2" borderId="82" xfId="0" applyNumberFormat="1" applyFont="1" applyFill="1" applyBorder="1" applyAlignment="1">
      <alignment horizontal="center" vertical="center"/>
    </xf>
    <xf numFmtId="166" fontId="4" fillId="2" borderId="26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166" fontId="6" fillId="2" borderId="84" xfId="0" applyNumberFormat="1" applyFont="1" applyFill="1" applyBorder="1" applyAlignment="1">
      <alignment horizontal="center" vertical="center"/>
    </xf>
    <xf numFmtId="166" fontId="6" fillId="2" borderId="83" xfId="0" applyNumberFormat="1" applyFont="1" applyFill="1" applyBorder="1" applyAlignment="1">
      <alignment horizontal="center" vertical="center"/>
    </xf>
    <xf numFmtId="166" fontId="6" fillId="2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3" borderId="41" xfId="0" applyFont="1" applyFill="1" applyBorder="1" applyAlignment="1">
      <alignment wrapText="1"/>
    </xf>
    <xf numFmtId="3" fontId="8" fillId="3" borderId="82" xfId="0" applyNumberFormat="1" applyFont="1" applyFill="1" applyBorder="1" applyAlignment="1">
      <alignment horizontal="center" vertical="center"/>
    </xf>
    <xf numFmtId="3" fontId="8" fillId="3" borderId="26" xfId="0" quotePrefix="1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166" fontId="8" fillId="3" borderId="26" xfId="0" applyNumberFormat="1" applyFont="1" applyFill="1" applyBorder="1" applyAlignment="1">
      <alignment horizontal="center" vertical="center"/>
    </xf>
    <xf numFmtId="3" fontId="8" fillId="3" borderId="81" xfId="0" applyNumberFormat="1" applyFont="1" applyFill="1" applyBorder="1" applyAlignment="1">
      <alignment horizontal="center" vertical="center"/>
    </xf>
    <xf numFmtId="166" fontId="8" fillId="3" borderId="81" xfId="0" applyNumberFormat="1" applyFont="1" applyFill="1" applyBorder="1" applyAlignment="1">
      <alignment horizontal="center" vertical="center"/>
    </xf>
    <xf numFmtId="3" fontId="8" fillId="3" borderId="82" xfId="0" quotePrefix="1" applyNumberFormat="1" applyFont="1" applyFill="1" applyBorder="1" applyAlignment="1">
      <alignment horizontal="center" vertical="center"/>
    </xf>
    <xf numFmtId="166" fontId="4" fillId="2" borderId="12" xfId="0" quotePrefix="1" applyNumberFormat="1" applyFont="1" applyFill="1" applyBorder="1" applyAlignment="1">
      <alignment horizontal="center" vertical="center" wrapText="1"/>
    </xf>
    <xf numFmtId="165" fontId="4" fillId="2" borderId="12" xfId="0" quotePrefix="1" applyNumberFormat="1" applyFont="1" applyFill="1" applyBorder="1" applyAlignment="1">
      <alignment horizontal="center"/>
    </xf>
    <xf numFmtId="165" fontId="4" fillId="2" borderId="13" xfId="0" quotePrefix="1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wrapText="1"/>
    </xf>
    <xf numFmtId="166" fontId="4" fillId="2" borderId="13" xfId="0" quotePrefix="1" applyNumberFormat="1" applyFont="1" applyFill="1" applyBorder="1" applyAlignment="1">
      <alignment horizontal="center" vertical="center" wrapText="1"/>
    </xf>
    <xf numFmtId="166" fontId="8" fillId="3" borderId="54" xfId="0" applyNumberFormat="1" applyFont="1" applyFill="1" applyBorder="1" applyAlignment="1">
      <alignment horizontal="center" vertical="center"/>
    </xf>
    <xf numFmtId="166" fontId="8" fillId="3" borderId="26" xfId="0" quotePrefix="1" applyNumberFormat="1" applyFont="1" applyFill="1" applyBorder="1" applyAlignment="1">
      <alignment horizontal="center" vertical="center"/>
    </xf>
    <xf numFmtId="166" fontId="8" fillId="3" borderId="2" xfId="0" quotePrefix="1" applyNumberFormat="1" applyFont="1" applyFill="1" applyBorder="1" applyAlignment="1">
      <alignment horizontal="center" vertical="center"/>
    </xf>
    <xf numFmtId="166" fontId="8" fillId="3" borderId="27" xfId="0" quotePrefix="1" applyNumberFormat="1" applyFont="1" applyFill="1" applyBorder="1" applyAlignment="1">
      <alignment horizontal="center" vertical="center"/>
    </xf>
    <xf numFmtId="166" fontId="8" fillId="3" borderId="8" xfId="0" quotePrefix="1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wrapText="1"/>
    </xf>
    <xf numFmtId="3" fontId="6" fillId="2" borderId="82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/>
    </xf>
    <xf numFmtId="165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165" fontId="6" fillId="2" borderId="27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6" fillId="2" borderId="88" xfId="0" applyNumberFormat="1" applyFont="1" applyFill="1" applyBorder="1" applyAlignment="1">
      <alignment horizontal="center" vertical="center" wrapText="1"/>
    </xf>
    <xf numFmtId="3" fontId="6" fillId="2" borderId="89" xfId="0" applyNumberFormat="1" applyFont="1" applyFill="1" applyBorder="1" applyAlignment="1">
      <alignment horizontal="center" vertical="center" wrapText="1"/>
    </xf>
    <xf numFmtId="166" fontId="6" fillId="2" borderId="90" xfId="0" applyNumberFormat="1" applyFont="1" applyFill="1" applyBorder="1" applyAlignment="1">
      <alignment horizontal="center" vertical="center" wrapText="1"/>
    </xf>
    <xf numFmtId="166" fontId="6" fillId="2" borderId="91" xfId="0" applyNumberFormat="1" applyFont="1" applyFill="1" applyBorder="1" applyAlignment="1">
      <alignment horizontal="center" vertical="center" wrapText="1"/>
    </xf>
    <xf numFmtId="166" fontId="4" fillId="2" borderId="53" xfId="0" applyNumberFormat="1" applyFont="1" applyFill="1" applyBorder="1" applyAlignment="1">
      <alignment horizontal="center" vertical="center" wrapText="1"/>
    </xf>
    <xf numFmtId="166" fontId="4" fillId="2" borderId="47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6" fillId="2" borderId="77" xfId="0" applyNumberFormat="1" applyFont="1" applyFill="1" applyBorder="1" applyAlignment="1">
      <alignment horizontal="center" vertical="center" wrapText="1"/>
    </xf>
    <xf numFmtId="166" fontId="4" fillId="2" borderId="59" xfId="0" applyNumberFormat="1" applyFont="1" applyFill="1" applyBorder="1" applyAlignment="1">
      <alignment horizontal="center" vertical="center" wrapText="1"/>
    </xf>
    <xf numFmtId="166" fontId="6" fillId="2" borderId="56" xfId="0" applyNumberFormat="1" applyFont="1" applyFill="1" applyBorder="1" applyAlignment="1">
      <alignment horizontal="center" vertical="center"/>
    </xf>
    <xf numFmtId="166" fontId="6" fillId="2" borderId="6" xfId="3" applyNumberFormat="1" applyFont="1" applyFill="1" applyBorder="1" applyAlignment="1">
      <alignment horizontal="center" vertical="center" wrapText="1"/>
    </xf>
    <xf numFmtId="166" fontId="6" fillId="2" borderId="52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59" xfId="0" applyNumberFormat="1" applyFont="1" applyFill="1" applyBorder="1" applyAlignment="1">
      <alignment horizontal="center" vertical="center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72" xfId="0" applyNumberFormat="1" applyFont="1" applyFill="1" applyBorder="1" applyAlignment="1">
      <alignment horizontal="center" vertical="center"/>
    </xf>
    <xf numFmtId="166" fontId="6" fillId="2" borderId="89" xfId="0" applyNumberFormat="1" applyFont="1" applyFill="1" applyBorder="1" applyAlignment="1">
      <alignment horizontal="center" vertical="center" wrapText="1"/>
    </xf>
    <xf numFmtId="165" fontId="8" fillId="2" borderId="10" xfId="0" quotePrefix="1" applyNumberFormat="1" applyFont="1" applyFill="1" applyBorder="1" applyAlignment="1">
      <alignment horizontal="center" vertical="center" wrapText="1"/>
    </xf>
    <xf numFmtId="165" fontId="8" fillId="2" borderId="13" xfId="0" quotePrefix="1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/>
    <xf numFmtId="165" fontId="4" fillId="2" borderId="0" xfId="0" applyNumberFormat="1" applyFont="1" applyFill="1"/>
    <xf numFmtId="0" fontId="4" fillId="2" borderId="33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49" fontId="11" fillId="2" borderId="18" xfId="0" applyNumberFormat="1" applyFont="1" applyFill="1" applyBorder="1" applyAlignment="1">
      <alignment horizontal="left" vertical="center" wrapText="1" indent="1"/>
    </xf>
    <xf numFmtId="0" fontId="4" fillId="2" borderId="63" xfId="0" applyFont="1" applyFill="1" applyBorder="1" applyAlignment="1">
      <alignment horizontal="left" vertical="center" wrapText="1" indent="2"/>
    </xf>
    <xf numFmtId="3" fontId="4" fillId="2" borderId="7" xfId="0" quotePrefix="1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left" vertical="center" wrapText="1" indent="1"/>
    </xf>
    <xf numFmtId="3" fontId="5" fillId="2" borderId="94" xfId="0" applyNumberFormat="1" applyFont="1" applyFill="1" applyBorder="1" applyAlignment="1">
      <alignment horizontal="center" vertical="center" wrapText="1"/>
    </xf>
    <xf numFmtId="166" fontId="5" fillId="2" borderId="94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left" vertical="center" wrapText="1" indent="3"/>
    </xf>
    <xf numFmtId="0" fontId="12" fillId="2" borderId="67" xfId="0" applyFont="1" applyFill="1" applyBorder="1" applyAlignment="1">
      <alignment horizontal="left" vertical="center" wrapText="1" indent="3"/>
    </xf>
    <xf numFmtId="3" fontId="11" fillId="2" borderId="58" xfId="0" applyNumberFormat="1" applyFont="1" applyFill="1" applyBorder="1" applyAlignment="1">
      <alignment horizontal="center" vertical="center"/>
    </xf>
    <xf numFmtId="3" fontId="11" fillId="2" borderId="68" xfId="0" applyNumberFormat="1" applyFont="1" applyFill="1" applyBorder="1" applyAlignment="1">
      <alignment horizontal="center" vertical="center"/>
    </xf>
    <xf numFmtId="165" fontId="11" fillId="2" borderId="39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 wrapText="1"/>
    </xf>
    <xf numFmtId="49" fontId="6" fillId="2" borderId="55" xfId="0" applyNumberFormat="1" applyFont="1" applyFill="1" applyBorder="1" applyAlignment="1">
      <alignment horizontal="left" vertical="center" wrapText="1"/>
    </xf>
    <xf numFmtId="49" fontId="4" fillId="2" borderId="41" xfId="0" applyNumberFormat="1" applyFont="1" applyFill="1" applyBorder="1" applyAlignment="1">
      <alignment horizontal="left" vertical="center" wrapText="1" indent="3"/>
    </xf>
    <xf numFmtId="49" fontId="4" fillId="2" borderId="71" xfId="0" applyNumberFormat="1" applyFont="1" applyFill="1" applyBorder="1" applyAlignment="1">
      <alignment horizontal="left" vertical="center" wrapText="1" indent="3"/>
    </xf>
    <xf numFmtId="49" fontId="4" fillId="2" borderId="64" xfId="0" applyNumberFormat="1" applyFont="1" applyFill="1" applyBorder="1" applyAlignment="1">
      <alignment horizontal="left" vertical="center" wrapText="1" indent="5"/>
    </xf>
    <xf numFmtId="49" fontId="4" fillId="2" borderId="19" xfId="0" applyNumberFormat="1" applyFont="1" applyFill="1" applyBorder="1" applyAlignment="1">
      <alignment horizontal="left" vertical="center" wrapText="1" indent="5"/>
    </xf>
    <xf numFmtId="49" fontId="4" fillId="2" borderId="76" xfId="0" applyNumberFormat="1" applyFont="1" applyFill="1" applyBorder="1" applyAlignment="1">
      <alignment horizontal="left" vertical="center" wrapText="1" indent="5"/>
    </xf>
    <xf numFmtId="49" fontId="4" fillId="2" borderId="71" xfId="0" applyNumberFormat="1" applyFont="1" applyFill="1" applyBorder="1" applyAlignment="1">
      <alignment horizontal="left" vertical="center" wrapText="1" indent="5"/>
    </xf>
    <xf numFmtId="3" fontId="4" fillId="2" borderId="92" xfId="0" applyNumberFormat="1" applyFont="1" applyFill="1" applyBorder="1" applyAlignment="1">
      <alignment horizontal="center" vertical="center"/>
    </xf>
    <xf numFmtId="166" fontId="6" fillId="2" borderId="52" xfId="0" applyNumberFormat="1" applyFont="1" applyFill="1" applyBorder="1" applyAlignment="1">
      <alignment horizontal="center" vertical="center"/>
    </xf>
    <xf numFmtId="166" fontId="4" fillId="2" borderId="81" xfId="0" applyNumberFormat="1" applyFont="1" applyFill="1" applyBorder="1" applyAlignment="1">
      <alignment horizontal="center" vertical="center"/>
    </xf>
    <xf numFmtId="166" fontId="4" fillId="2" borderId="54" xfId="0" applyNumberFormat="1" applyFont="1" applyFill="1" applyBorder="1" applyAlignment="1">
      <alignment horizontal="center" vertical="center"/>
    </xf>
    <xf numFmtId="166" fontId="4" fillId="2" borderId="87" xfId="0" applyNumberFormat="1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 vertical="center"/>
    </xf>
    <xf numFmtId="166" fontId="4" fillId="2" borderId="53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/>
    </xf>
    <xf numFmtId="49" fontId="4" fillId="2" borderId="57" xfId="0" applyNumberFormat="1" applyFont="1" applyFill="1" applyBorder="1" applyAlignment="1">
      <alignment horizontal="left" vertical="center" wrapText="1"/>
    </xf>
    <xf numFmtId="49" fontId="4" fillId="2" borderId="56" xfId="0" applyNumberFormat="1" applyFont="1" applyFill="1" applyBorder="1" applyAlignment="1">
      <alignment horizontal="left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horizont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wrapText="1"/>
    </xf>
    <xf numFmtId="3" fontId="4" fillId="2" borderId="33" xfId="0" applyNumberFormat="1" applyFont="1" applyFill="1" applyBorder="1" applyAlignment="1">
      <alignment horizontal="center" wrapText="1"/>
    </xf>
    <xf numFmtId="3" fontId="4" fillId="2" borderId="77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166" fontId="6" fillId="2" borderId="86" xfId="0" applyNumberFormat="1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/>
    </xf>
    <xf numFmtId="166" fontId="4" fillId="2" borderId="54" xfId="0" applyNumberFormat="1" applyFont="1" applyFill="1" applyBorder="1" applyAlignment="1">
      <alignment horizontal="center"/>
    </xf>
    <xf numFmtId="166" fontId="6" fillId="2" borderId="87" xfId="0" applyNumberFormat="1" applyFont="1" applyFill="1" applyBorder="1" applyAlignment="1">
      <alignment horizontal="center" vertical="center"/>
    </xf>
    <xf numFmtId="166" fontId="4" fillId="2" borderId="47" xfId="0" applyNumberFormat="1" applyFont="1" applyFill="1" applyBorder="1" applyAlignment="1">
      <alignment horizontal="center" vertical="center"/>
    </xf>
    <xf numFmtId="167" fontId="4" fillId="2" borderId="10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82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165" fontId="8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6" fontId="4" fillId="2" borderId="1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 indent="2"/>
    </xf>
    <xf numFmtId="49" fontId="4" fillId="2" borderId="57" xfId="0" applyNumberFormat="1" applyFont="1" applyFill="1" applyBorder="1" applyAlignment="1">
      <alignment horizontal="left" vertical="center" wrapText="1" indent="2"/>
    </xf>
    <xf numFmtId="49" fontId="4" fillId="2" borderId="56" xfId="0" applyNumberFormat="1" applyFont="1" applyFill="1" applyBorder="1" applyAlignment="1">
      <alignment horizontal="left" vertical="center" wrapText="1" indent="2"/>
    </xf>
    <xf numFmtId="3" fontId="4" fillId="2" borderId="1" xfId="0" quotePrefix="1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 vertical="center"/>
    </xf>
    <xf numFmtId="3" fontId="6" fillId="2" borderId="95" xfId="0" applyNumberFormat="1" applyFont="1" applyFill="1" applyBorder="1" applyAlignment="1">
      <alignment horizontal="center" vertical="center" wrapText="1"/>
    </xf>
    <xf numFmtId="3" fontId="8" fillId="2" borderId="5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7" fillId="2" borderId="67" xfId="0" applyFont="1" applyFill="1" applyBorder="1" applyAlignment="1">
      <alignment horizontal="left" vertical="center"/>
    </xf>
    <xf numFmtId="2" fontId="17" fillId="2" borderId="50" xfId="0" applyNumberFormat="1" applyFont="1" applyFill="1" applyBorder="1" applyAlignment="1">
      <alignment horizontal="center" vertical="center"/>
    </xf>
    <xf numFmtId="4" fontId="17" fillId="2" borderId="39" xfId="0" quotePrefix="1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indent="3"/>
    </xf>
    <xf numFmtId="0" fontId="16" fillId="2" borderId="19" xfId="0" applyFont="1" applyFill="1" applyBorder="1" applyAlignment="1">
      <alignment horizontal="left" vertical="center" wrapText="1" indent="3"/>
    </xf>
    <xf numFmtId="0" fontId="16" fillId="2" borderId="71" xfId="0" applyFont="1" applyFill="1" applyBorder="1" applyAlignment="1">
      <alignment horizontal="left" vertical="center" wrapText="1" indent="3"/>
    </xf>
    <xf numFmtId="2" fontId="16" fillId="2" borderId="11" xfId="0" applyNumberFormat="1" applyFont="1" applyFill="1" applyBorder="1" applyAlignment="1">
      <alignment horizontal="center" vertical="center"/>
    </xf>
    <xf numFmtId="166" fontId="4" fillId="2" borderId="18" xfId="0" applyNumberFormat="1" applyFont="1" applyFill="1" applyBorder="1" applyAlignment="1">
      <alignment horizontal="center" vertical="center"/>
    </xf>
    <xf numFmtId="166" fontId="4" fillId="2" borderId="33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wrapText="1"/>
    </xf>
    <xf numFmtId="166" fontId="6" fillId="2" borderId="0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166" fontId="4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 vertical="center"/>
    </xf>
    <xf numFmtId="165" fontId="0" fillId="2" borderId="0" xfId="0" applyNumberFormat="1" applyFont="1" applyFill="1" applyAlignment="1">
      <alignment horizontal="left" vertical="center"/>
    </xf>
    <xf numFmtId="166" fontId="4" fillId="2" borderId="8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/>
    </xf>
    <xf numFmtId="165" fontId="4" fillId="2" borderId="0" xfId="0" quotePrefix="1" applyNumberFormat="1" applyFont="1" applyFill="1" applyBorder="1" applyAlignment="1">
      <alignment horizontal="center"/>
    </xf>
    <xf numFmtId="166" fontId="8" fillId="3" borderId="0" xfId="0" quotePrefix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3" fontId="4" fillId="2" borderId="98" xfId="0" applyNumberFormat="1" applyFont="1" applyFill="1" applyBorder="1" applyAlignment="1">
      <alignment horizontal="center" vertical="center"/>
    </xf>
    <xf numFmtId="166" fontId="4" fillId="2" borderId="7" xfId="0" applyNumberFormat="1" applyFont="1" applyFill="1" applyBorder="1" applyAlignment="1">
      <alignment horizontal="center" vertical="center"/>
    </xf>
    <xf numFmtId="166" fontId="4" fillId="2" borderId="34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1" fontId="8" fillId="2" borderId="32" xfId="0" applyNumberFormat="1" applyFont="1" applyFill="1" applyBorder="1" applyAlignment="1">
      <alignment horizontal="center" vertical="center" wrapText="1"/>
    </xf>
    <xf numFmtId="1" fontId="8" fillId="2" borderId="18" xfId="0" applyNumberFormat="1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/>
    </xf>
    <xf numFmtId="1" fontId="8" fillId="2" borderId="18" xfId="0" quotePrefix="1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left"/>
    </xf>
    <xf numFmtId="165" fontId="8" fillId="2" borderId="10" xfId="0" quotePrefix="1" applyNumberFormat="1" applyFont="1" applyFill="1" applyBorder="1" applyAlignment="1">
      <alignment horizontal="left" vertical="center" wrapText="1"/>
    </xf>
    <xf numFmtId="165" fontId="9" fillId="2" borderId="0" xfId="2" applyNumberFormat="1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6" fillId="2" borderId="34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3" fontId="6" fillId="2" borderId="35" xfId="0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4" fillId="2" borderId="84" xfId="0" applyNumberFormat="1" applyFont="1" applyFill="1" applyBorder="1" applyAlignment="1">
      <alignment horizontal="center" vertical="center"/>
    </xf>
    <xf numFmtId="3" fontId="4" fillId="2" borderId="80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 indent="1"/>
    </xf>
    <xf numFmtId="3" fontId="8" fillId="3" borderId="29" xfId="0" quotePrefix="1" applyNumberFormat="1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/>
    </xf>
    <xf numFmtId="3" fontId="8" fillId="3" borderId="35" xfId="0" quotePrefix="1" applyNumberFormat="1" applyFont="1" applyFill="1" applyBorder="1" applyAlignment="1">
      <alignment horizontal="center" vertical="center"/>
    </xf>
    <xf numFmtId="166" fontId="8" fillId="3" borderId="10" xfId="0" applyNumberFormat="1" applyFont="1" applyFill="1" applyBorder="1" applyAlignment="1">
      <alignment horizontal="center" vertical="center"/>
    </xf>
    <xf numFmtId="166" fontId="8" fillId="3" borderId="13" xfId="0" applyNumberFormat="1" applyFont="1" applyFill="1" applyBorder="1" applyAlignment="1">
      <alignment horizontal="center" vertical="center"/>
    </xf>
    <xf numFmtId="166" fontId="5" fillId="2" borderId="1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 wrapText="1"/>
    </xf>
    <xf numFmtId="166" fontId="5" fillId="2" borderId="27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2" borderId="82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0" fillId="2" borderId="0" xfId="0" applyFont="1" applyFill="1" applyBorder="1"/>
    <xf numFmtId="0" fontId="16" fillId="2" borderId="48" xfId="0" applyFont="1" applyFill="1" applyBorder="1" applyAlignment="1">
      <alignment horizontal="center" vertical="center"/>
    </xf>
    <xf numFmtId="2" fontId="17" fillId="2" borderId="39" xfId="0" applyNumberFormat="1" applyFont="1" applyFill="1" applyBorder="1" applyAlignment="1">
      <alignment horizontal="center" vertical="center"/>
    </xf>
    <xf numFmtId="2" fontId="17" fillId="2" borderId="0" xfId="0" applyNumberFormat="1" applyFont="1" applyFill="1" applyBorder="1" applyAlignment="1">
      <alignment horizontal="center" vertical="center"/>
    </xf>
    <xf numFmtId="4" fontId="17" fillId="2" borderId="38" xfId="0" quotePrefix="1" applyNumberFormat="1" applyFont="1" applyFill="1" applyBorder="1" applyAlignment="1">
      <alignment horizontal="center" vertical="center"/>
    </xf>
    <xf numFmtId="4" fontId="17" fillId="2" borderId="0" xfId="0" quotePrefix="1" applyNumberFormat="1" applyFont="1" applyFill="1" applyBorder="1" applyAlignment="1">
      <alignment horizontal="center" vertical="center"/>
    </xf>
    <xf numFmtId="166" fontId="17" fillId="2" borderId="50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 wrapText="1"/>
    </xf>
    <xf numFmtId="4" fontId="16" fillId="2" borderId="0" xfId="0" quotePrefix="1" applyNumberFormat="1" applyFont="1" applyFill="1" applyBorder="1" applyAlignment="1">
      <alignment horizontal="center" vertical="center"/>
    </xf>
    <xf numFmtId="0" fontId="16" fillId="2" borderId="99" xfId="0" applyFont="1" applyFill="1" applyBorder="1" applyAlignment="1">
      <alignment horizontal="left" vertical="center" wrapText="1"/>
    </xf>
    <xf numFmtId="2" fontId="16" fillId="2" borderId="49" xfId="0" applyNumberFormat="1" applyFont="1" applyFill="1" applyBorder="1" applyAlignment="1">
      <alignment horizontal="center" vertical="center"/>
    </xf>
    <xf numFmtId="166" fontId="16" fillId="2" borderId="51" xfId="0" quotePrefix="1" applyNumberFormat="1" applyFont="1" applyFill="1" applyBorder="1" applyAlignment="1">
      <alignment horizontal="center" vertical="center"/>
    </xf>
    <xf numFmtId="4" fontId="17" fillId="2" borderId="40" xfId="0" quotePrefix="1" applyNumberFormat="1" applyFont="1" applyFill="1" applyBorder="1" applyAlignment="1">
      <alignment horizontal="center" vertical="center"/>
    </xf>
    <xf numFmtId="166" fontId="16" fillId="2" borderId="13" xfId="0" quotePrefix="1" applyNumberFormat="1" applyFont="1" applyFill="1" applyBorder="1" applyAlignment="1">
      <alignment horizontal="center" vertical="center"/>
    </xf>
    <xf numFmtId="166" fontId="16" fillId="2" borderId="0" xfId="0" quotePrefix="1" applyNumberFormat="1" applyFont="1" applyFill="1" applyBorder="1" applyAlignment="1">
      <alignment horizontal="center" vertical="center"/>
    </xf>
    <xf numFmtId="166" fontId="16" fillId="2" borderId="51" xfId="0" applyNumberFormat="1" applyFont="1" applyFill="1" applyBorder="1" applyAlignment="1">
      <alignment horizontal="center" vertical="center"/>
    </xf>
    <xf numFmtId="166" fontId="16" fillId="2" borderId="49" xfId="0" quotePrefix="1" applyNumberFormat="1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left" vertical="center" wrapText="1"/>
    </xf>
    <xf numFmtId="2" fontId="16" fillId="2" borderId="57" xfId="0" applyNumberFormat="1" applyFont="1" applyFill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 wrapText="1"/>
    </xf>
    <xf numFmtId="166" fontId="16" fillId="2" borderId="82" xfId="0" applyNumberFormat="1" applyFont="1" applyFill="1" applyBorder="1" applyAlignment="1">
      <alignment horizontal="center" vertical="center"/>
    </xf>
    <xf numFmtId="166" fontId="16" fillId="2" borderId="26" xfId="0" applyNumberFormat="1" applyFont="1" applyFill="1" applyBorder="1" applyAlignment="1">
      <alignment horizontal="center" vertical="center"/>
    </xf>
    <xf numFmtId="166" fontId="16" fillId="2" borderId="27" xfId="0" quotePrefix="1" applyNumberFormat="1" applyFont="1" applyFill="1" applyBorder="1" applyAlignment="1">
      <alignment horizontal="center" vertical="center"/>
    </xf>
    <xf numFmtId="166" fontId="16" fillId="2" borderId="27" xfId="0" applyNumberFormat="1" applyFont="1" applyFill="1" applyBorder="1" applyAlignment="1">
      <alignment horizontal="center" vertical="center"/>
    </xf>
    <xf numFmtId="166" fontId="16" fillId="2" borderId="9" xfId="0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/>
    </xf>
    <xf numFmtId="166" fontId="16" fillId="2" borderId="10" xfId="0" quotePrefix="1" applyNumberFormat="1" applyFont="1" applyFill="1" applyBorder="1" applyAlignment="1">
      <alignment horizontal="center" vertical="center"/>
    </xf>
    <xf numFmtId="166" fontId="16" fillId="2" borderId="1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 wrapText="1"/>
    </xf>
    <xf numFmtId="165" fontId="23" fillId="2" borderId="0" xfId="0" applyNumberFormat="1" applyFont="1" applyFill="1" applyAlignment="1">
      <alignment horizontal="center" vertical="center"/>
    </xf>
    <xf numFmtId="0" fontId="16" fillId="2" borderId="19" xfId="0" applyFont="1" applyFill="1" applyBorder="1" applyAlignment="1">
      <alignment horizontal="left" vertical="center" wrapText="1"/>
    </xf>
    <xf numFmtId="4" fontId="16" fillId="2" borderId="9" xfId="0" quotePrefix="1" applyNumberFormat="1" applyFont="1" applyFill="1" applyBorder="1" applyAlignment="1">
      <alignment horizontal="center" vertical="center"/>
    </xf>
    <xf numFmtId="4" fontId="16" fillId="2" borderId="1" xfId="0" quotePrefix="1" applyNumberFormat="1" applyFont="1" applyFill="1" applyBorder="1" applyAlignment="1">
      <alignment horizontal="center" vertical="center"/>
    </xf>
    <xf numFmtId="4" fontId="16" fillId="2" borderId="10" xfId="0" quotePrefix="1" applyNumberFormat="1" applyFont="1" applyFill="1" applyBorder="1" applyAlignment="1">
      <alignment horizontal="center" vertical="center"/>
    </xf>
    <xf numFmtId="166" fontId="16" fillId="2" borderId="1" xfId="0" quotePrefix="1" applyNumberFormat="1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horizontal="left" vertical="center" wrapText="1"/>
    </xf>
    <xf numFmtId="4" fontId="16" fillId="2" borderId="11" xfId="0" quotePrefix="1" applyNumberFormat="1" applyFont="1" applyFill="1" applyBorder="1" applyAlignment="1">
      <alignment horizontal="center" vertical="center"/>
    </xf>
    <xf numFmtId="4" fontId="16" fillId="2" borderId="12" xfId="0" quotePrefix="1" applyNumberFormat="1" applyFont="1" applyFill="1" applyBorder="1" applyAlignment="1">
      <alignment horizontal="center" vertical="center"/>
    </xf>
    <xf numFmtId="4" fontId="16" fillId="2" borderId="13" xfId="0" quotePrefix="1" applyNumberFormat="1" applyFont="1" applyFill="1" applyBorder="1" applyAlignment="1">
      <alignment horizontal="center" vertical="center"/>
    </xf>
    <xf numFmtId="166" fontId="16" fillId="2" borderId="13" xfId="0" applyNumberFormat="1" applyFont="1" applyFill="1" applyBorder="1" applyAlignment="1">
      <alignment horizontal="center" vertical="center"/>
    </xf>
    <xf numFmtId="0" fontId="5" fillId="2" borderId="0" xfId="0" applyFont="1" applyFill="1"/>
    <xf numFmtId="4" fontId="24" fillId="2" borderId="0" xfId="0" applyNumberFormat="1" applyFont="1" applyFill="1" applyAlignment="1">
      <alignment horizontal="center" vertical="center"/>
    </xf>
    <xf numFmtId="166" fontId="24" fillId="2" borderId="0" xfId="0" applyNumberFormat="1" applyFont="1" applyFill="1" applyAlignment="1">
      <alignment horizontal="center" vertical="center"/>
    </xf>
    <xf numFmtId="166" fontId="24" fillId="2" borderId="0" xfId="0" applyNumberFormat="1" applyFont="1" applyFill="1" applyBorder="1" applyAlignment="1">
      <alignment horizontal="center" vertical="center"/>
    </xf>
    <xf numFmtId="166" fontId="24" fillId="2" borderId="0" xfId="0" applyNumberFormat="1" applyFont="1" applyFill="1" applyAlignment="1">
      <alignment horizontal="center" vertical="center" wrapText="1"/>
    </xf>
    <xf numFmtId="4" fontId="24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165" fontId="17" fillId="2" borderId="50" xfId="0" applyNumberFormat="1" applyFont="1" applyFill="1" applyBorder="1" applyAlignment="1">
      <alignment horizontal="center" vertical="center"/>
    </xf>
    <xf numFmtId="2" fontId="9" fillId="2" borderId="55" xfId="0" quotePrefix="1" applyNumberFormat="1" applyFont="1" applyFill="1" applyBorder="1" applyAlignment="1">
      <alignment horizontal="center" vertical="center" wrapText="1"/>
    </xf>
    <xf numFmtId="0" fontId="14" fillId="2" borderId="99" xfId="5" quotePrefix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left" vertical="center" wrapText="1"/>
    </xf>
    <xf numFmtId="0" fontId="14" fillId="2" borderId="49" xfId="5" quotePrefix="1" applyFill="1" applyBorder="1" applyAlignment="1">
      <alignment horizontal="left" vertical="center" wrapText="1"/>
    </xf>
    <xf numFmtId="0" fontId="2" fillId="2" borderId="99" xfId="6" quotePrefix="1" applyFill="1" applyBorder="1" applyAlignment="1">
      <alignment horizontal="center" vertical="center" wrapText="1"/>
    </xf>
    <xf numFmtId="0" fontId="2" fillId="2" borderId="49" xfId="6" quotePrefix="1" applyFill="1" applyBorder="1" applyAlignment="1">
      <alignment horizontal="left" vertical="center" wrapText="1"/>
    </xf>
    <xf numFmtId="0" fontId="14" fillId="2" borderId="99" xfId="7" quotePrefix="1" applyFill="1" applyBorder="1" applyAlignment="1">
      <alignment horizontal="center" vertical="center" wrapText="1"/>
    </xf>
    <xf numFmtId="0" fontId="14" fillId="2" borderId="49" xfId="7" quotePrefix="1" applyFill="1" applyBorder="1" applyAlignment="1">
      <alignment horizontal="left" vertical="center" wrapText="1"/>
    </xf>
    <xf numFmtId="0" fontId="14" fillId="2" borderId="100" xfId="5" quotePrefix="1" applyFill="1" applyBorder="1" applyAlignment="1">
      <alignment horizontal="center" vertical="center" wrapText="1"/>
    </xf>
    <xf numFmtId="0" fontId="14" fillId="2" borderId="101" xfId="5" quotePrefix="1" applyFill="1" applyBorder="1" applyAlignment="1">
      <alignment horizontal="left" vertical="center" wrapText="1"/>
    </xf>
    <xf numFmtId="0" fontId="27" fillId="2" borderId="0" xfId="0" applyFont="1" applyFill="1" applyAlignment="1">
      <alignment horizontal="left" vertical="center"/>
    </xf>
    <xf numFmtId="0" fontId="29" fillId="2" borderId="0" xfId="0" applyFont="1" applyFill="1"/>
    <xf numFmtId="0" fontId="29" fillId="2" borderId="0" xfId="0" applyFont="1" applyFill="1" applyBorder="1"/>
    <xf numFmtId="0" fontId="6" fillId="2" borderId="0" xfId="0" applyFont="1" applyFill="1"/>
    <xf numFmtId="0" fontId="27" fillId="2" borderId="0" xfId="0" applyFont="1" applyFill="1"/>
    <xf numFmtId="166" fontId="5" fillId="2" borderId="7" xfId="0" applyNumberFormat="1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/>
    </xf>
    <xf numFmtId="0" fontId="30" fillId="2" borderId="0" xfId="0" applyFont="1" applyFill="1"/>
    <xf numFmtId="0" fontId="31" fillId="2" borderId="0" xfId="0" applyFont="1" applyFill="1"/>
    <xf numFmtId="0" fontId="7" fillId="2" borderId="64" xfId="0" applyFont="1" applyFill="1" applyBorder="1" applyAlignment="1">
      <alignment horizontal="center" vertical="center" wrapText="1"/>
    </xf>
    <xf numFmtId="49" fontId="7" fillId="2" borderId="65" xfId="0" applyNumberFormat="1" applyFont="1" applyFill="1" applyBorder="1" applyAlignment="1">
      <alignment horizontal="center" vertical="center"/>
    </xf>
    <xf numFmtId="49" fontId="7" fillId="2" borderId="66" xfId="0" applyNumberFormat="1" applyFont="1" applyFill="1" applyBorder="1" applyAlignment="1">
      <alignment horizontal="center" vertical="center" wrapText="1"/>
    </xf>
    <xf numFmtId="0" fontId="32" fillId="2" borderId="102" xfId="0" applyFont="1" applyFill="1" applyBorder="1" applyAlignment="1">
      <alignment horizontal="left" vertical="center" wrapText="1"/>
    </xf>
    <xf numFmtId="0" fontId="32" fillId="2" borderId="103" xfId="0" applyFont="1" applyFill="1" applyBorder="1" applyAlignment="1">
      <alignment horizontal="center" vertical="center"/>
    </xf>
    <xf numFmtId="0" fontId="32" fillId="2" borderId="104" xfId="0" applyFont="1" applyFill="1" applyBorder="1" applyAlignment="1">
      <alignment horizontal="center" vertical="center"/>
    </xf>
    <xf numFmtId="165" fontId="32" fillId="2" borderId="103" xfId="0" applyNumberFormat="1" applyFont="1" applyFill="1" applyBorder="1" applyAlignment="1">
      <alignment horizontal="center" vertical="center"/>
    </xf>
    <xf numFmtId="165" fontId="32" fillId="2" borderId="104" xfId="0" applyNumberFormat="1" applyFont="1" applyFill="1" applyBorder="1" applyAlignment="1">
      <alignment horizontal="center" vertical="center"/>
    </xf>
    <xf numFmtId="165" fontId="32" fillId="2" borderId="105" xfId="0" applyNumberFormat="1" applyFont="1" applyFill="1" applyBorder="1" applyAlignment="1">
      <alignment horizontal="center" vertical="center"/>
    </xf>
    <xf numFmtId="165" fontId="32" fillId="2" borderId="106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53" xfId="0" applyNumberFormat="1" applyFont="1" applyFill="1" applyBorder="1" applyAlignment="1">
      <alignment horizontal="center" vertical="center"/>
    </xf>
    <xf numFmtId="165" fontId="7" fillId="2" borderId="107" xfId="0" applyNumberFormat="1" applyFont="1" applyFill="1" applyBorder="1" applyAlignment="1">
      <alignment horizontal="center" vertical="center"/>
    </xf>
    <xf numFmtId="165" fontId="7" fillId="2" borderId="35" xfId="0" applyNumberFormat="1" applyFont="1" applyFill="1" applyBorder="1" applyAlignment="1">
      <alignment horizontal="center" vertical="center"/>
    </xf>
    <xf numFmtId="165" fontId="7" fillId="2" borderId="77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45" xfId="0" applyNumberFormat="1" applyFont="1" applyFill="1" applyBorder="1" applyAlignment="1">
      <alignment horizontal="center" vertical="center"/>
    </xf>
    <xf numFmtId="165" fontId="7" fillId="2" borderId="3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 wrapText="1"/>
    </xf>
    <xf numFmtId="165" fontId="7" fillId="2" borderId="12" xfId="0" applyNumberFormat="1" applyFont="1" applyFill="1" applyBorder="1" applyAlignment="1">
      <alignment horizontal="center" vertical="center"/>
    </xf>
    <xf numFmtId="165" fontId="7" fillId="2" borderId="54" xfId="0" applyNumberFormat="1" applyFont="1" applyFill="1" applyBorder="1" applyAlignment="1">
      <alignment horizontal="center" vertical="center"/>
    </xf>
    <xf numFmtId="165" fontId="7" fillId="2" borderId="31" xfId="0" applyNumberFormat="1" applyFont="1" applyFill="1" applyBorder="1" applyAlignment="1">
      <alignment horizontal="center" vertical="center"/>
    </xf>
    <xf numFmtId="165" fontId="7" fillId="2" borderId="59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center" vertical="center"/>
    </xf>
    <xf numFmtId="2" fontId="16" fillId="2" borderId="82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3" fontId="21" fillId="4" borderId="1" xfId="0" applyNumberFormat="1" applyFont="1" applyFill="1" applyBorder="1" applyAlignment="1">
      <alignment horizontal="center" vertical="center"/>
    </xf>
    <xf numFmtId="165" fontId="21" fillId="4" borderId="1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99" xfId="0" applyFont="1" applyFill="1" applyBorder="1" applyAlignment="1">
      <alignment vertical="center" wrapText="1"/>
    </xf>
    <xf numFmtId="0" fontId="8" fillId="2" borderId="71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left"/>
    </xf>
    <xf numFmtId="165" fontId="5" fillId="2" borderId="0" xfId="0" applyNumberFormat="1" applyFont="1" applyFill="1" applyBorder="1" applyAlignment="1">
      <alignment horizontal="center"/>
    </xf>
    <xf numFmtId="1" fontId="4" fillId="2" borderId="33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left"/>
    </xf>
    <xf numFmtId="165" fontId="4" fillId="2" borderId="13" xfId="0" applyNumberFormat="1" applyFont="1" applyFill="1" applyBorder="1" applyAlignment="1">
      <alignment horizontal="center"/>
    </xf>
    <xf numFmtId="0" fontId="14" fillId="2" borderId="69" xfId="5" quotePrefix="1" applyFill="1" applyBorder="1" applyAlignment="1">
      <alignment horizontal="center" vertical="center" wrapText="1"/>
    </xf>
    <xf numFmtId="3" fontId="9" fillId="2" borderId="28" xfId="2" applyNumberFormat="1" applyFont="1" applyFill="1" applyBorder="1" applyAlignment="1">
      <alignment horizontal="center" vertical="center" wrapText="1"/>
    </xf>
    <xf numFmtId="3" fontId="8" fillId="2" borderId="35" xfId="2" applyNumberFormat="1" applyFont="1" applyFill="1" applyBorder="1" applyAlignment="1">
      <alignment horizontal="center" vertical="center" wrapText="1"/>
    </xf>
    <xf numFmtId="3" fontId="8" fillId="2" borderId="30" xfId="2" applyNumberFormat="1" applyFont="1" applyFill="1" applyBorder="1" applyAlignment="1">
      <alignment horizontal="center" vertical="center" wrapText="1"/>
    </xf>
    <xf numFmtId="3" fontId="8" fillId="2" borderId="74" xfId="2" applyNumberFormat="1" applyFont="1" applyFill="1" applyBorder="1" applyAlignment="1">
      <alignment horizontal="center" vertical="center" wrapText="1"/>
    </xf>
    <xf numFmtId="0" fontId="14" fillId="2" borderId="25" xfId="5" quotePrefix="1" applyFill="1" applyBorder="1" applyAlignment="1">
      <alignment horizontal="left" vertical="center" wrapText="1"/>
    </xf>
    <xf numFmtId="3" fontId="9" fillId="2" borderId="52" xfId="2" applyNumberFormat="1" applyFont="1" applyFill="1" applyBorder="1" applyAlignment="1">
      <alignment horizontal="center" vertical="center" wrapText="1"/>
    </xf>
    <xf numFmtId="3" fontId="8" fillId="2" borderId="53" xfId="2" applyNumberFormat="1" applyFont="1" applyFill="1" applyBorder="1" applyAlignment="1">
      <alignment horizontal="center" vertical="center" wrapText="1"/>
    </xf>
    <xf numFmtId="3" fontId="8" fillId="2" borderId="45" xfId="2" applyNumberFormat="1" applyFont="1" applyFill="1" applyBorder="1" applyAlignment="1">
      <alignment horizontal="center" vertical="center" wrapText="1"/>
    </xf>
    <xf numFmtId="3" fontId="8" fillId="2" borderId="46" xfId="2" applyNumberFormat="1" applyFont="1" applyFill="1" applyBorder="1" applyAlignment="1">
      <alignment horizontal="center" vertical="center" wrapText="1"/>
    </xf>
    <xf numFmtId="165" fontId="9" fillId="2" borderId="3" xfId="2" applyNumberFormat="1" applyFont="1" applyFill="1" applyBorder="1" applyAlignment="1">
      <alignment horizontal="center" vertical="center" wrapText="1"/>
    </xf>
    <xf numFmtId="166" fontId="8" fillId="2" borderId="34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vertical="center" wrapText="1"/>
    </xf>
    <xf numFmtId="166" fontId="8" fillId="2" borderId="63" xfId="2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 vertical="center" wrapText="1"/>
    </xf>
    <xf numFmtId="1" fontId="8" fillId="2" borderId="108" xfId="11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0" xfId="0" applyFont="1" applyFill="1"/>
    <xf numFmtId="3" fontId="33" fillId="2" borderId="0" xfId="0" applyNumberFormat="1" applyFont="1" applyFill="1" applyAlignment="1">
      <alignment horizontal="center"/>
    </xf>
    <xf numFmtId="2" fontId="16" fillId="2" borderId="27" xfId="0" applyNumberFormat="1" applyFont="1" applyFill="1" applyBorder="1" applyAlignment="1">
      <alignment horizontal="center" vertical="center" wrapText="1"/>
    </xf>
    <xf numFmtId="2" fontId="16" fillId="2" borderId="10" xfId="0" applyNumberFormat="1" applyFont="1" applyFill="1" applyBorder="1" applyAlignment="1">
      <alignment horizontal="center" vertical="center" wrapText="1"/>
    </xf>
    <xf numFmtId="2" fontId="18" fillId="2" borderId="10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2" fontId="16" fillId="2" borderId="13" xfId="0" applyNumberFormat="1" applyFont="1" applyFill="1" applyBorder="1" applyAlignment="1">
      <alignment horizontal="center" vertical="center" wrapText="1"/>
    </xf>
    <xf numFmtId="4" fontId="16" fillId="2" borderId="9" xfId="0" applyNumberFormat="1" applyFont="1" applyFill="1" applyBorder="1" applyAlignment="1">
      <alignment horizontal="center" vertical="center"/>
    </xf>
    <xf numFmtId="4" fontId="16" fillId="2" borderId="11" xfId="0" applyNumberFormat="1" applyFont="1" applyFill="1" applyBorder="1" applyAlignment="1">
      <alignment horizontal="center" vertical="center"/>
    </xf>
    <xf numFmtId="3" fontId="6" fillId="2" borderId="86" xfId="0" quotePrefix="1" applyNumberFormat="1" applyFont="1" applyFill="1" applyBorder="1" applyAlignment="1">
      <alignment horizontal="center" vertical="center" wrapText="1"/>
    </xf>
    <xf numFmtId="3" fontId="33" fillId="2" borderId="109" xfId="0" applyNumberFormat="1" applyFont="1" applyFill="1" applyBorder="1" applyAlignment="1">
      <alignment horizontal="center" vertical="center"/>
    </xf>
    <xf numFmtId="15" fontId="34" fillId="5" borderId="1" xfId="0" applyNumberFormat="1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/>
    </xf>
    <xf numFmtId="0" fontId="35" fillId="2" borderId="1" xfId="0" applyFont="1" applyFill="1" applyBorder="1" applyAlignment="1">
      <alignment horizontal="left" vertical="center"/>
    </xf>
    <xf numFmtId="0" fontId="35" fillId="2" borderId="109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14" fontId="4" fillId="6" borderId="57" xfId="0" applyNumberFormat="1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4" fontId="4" fillId="6" borderId="52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3" fontId="6" fillId="6" borderId="57" xfId="0" applyNumberFormat="1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6" fillId="6" borderId="6" xfId="0" applyNumberFormat="1" applyFont="1" applyFill="1" applyBorder="1" applyAlignment="1">
      <alignment horizontal="center" vertical="center"/>
    </xf>
    <xf numFmtId="166" fontId="6" fillId="6" borderId="52" xfId="0" applyNumberFormat="1" applyFont="1" applyFill="1" applyBorder="1" applyAlignment="1">
      <alignment horizontal="center" vertical="center"/>
    </xf>
    <xf numFmtId="166" fontId="6" fillId="6" borderId="4" xfId="0" applyNumberFormat="1" applyFont="1" applyFill="1" applyBorder="1" applyAlignment="1">
      <alignment horizontal="center" vertical="center"/>
    </xf>
    <xf numFmtId="166" fontId="6" fillId="6" borderId="3" xfId="0" applyNumberFormat="1" applyFont="1" applyFill="1" applyBorder="1" applyAlignment="1">
      <alignment horizontal="center" vertical="center"/>
    </xf>
    <xf numFmtId="166" fontId="6" fillId="6" borderId="6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3" fontId="4" fillId="5" borderId="20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  <xf numFmtId="3" fontId="4" fillId="5" borderId="18" xfId="0" applyNumberFormat="1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6" fontId="4" fillId="5" borderId="45" xfId="0" applyNumberFormat="1" applyFont="1" applyFill="1" applyBorder="1" applyAlignment="1">
      <alignment horizontal="center" vertical="center"/>
    </xf>
    <xf numFmtId="166" fontId="4" fillId="5" borderId="9" xfId="0" applyNumberFormat="1" applyFont="1" applyFill="1" applyBorder="1" applyAlignment="1">
      <alignment horizontal="center" vertical="center"/>
    </xf>
    <xf numFmtId="166" fontId="4" fillId="5" borderId="18" xfId="0" applyNumberFormat="1" applyFont="1" applyFill="1" applyBorder="1" applyAlignment="1">
      <alignment horizontal="center" vertical="center"/>
    </xf>
    <xf numFmtId="166" fontId="5" fillId="5" borderId="9" xfId="0" applyNumberFormat="1" applyFont="1" applyFill="1" applyBorder="1" applyAlignment="1">
      <alignment horizontal="center" vertical="center"/>
    </xf>
    <xf numFmtId="166" fontId="4" fillId="5" borderId="10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left" vertical="center" wrapText="1"/>
    </xf>
    <xf numFmtId="0" fontId="4" fillId="6" borderId="24" xfId="0" applyFont="1" applyFill="1" applyBorder="1" applyAlignment="1">
      <alignment horizontal="left" vertical="center" wrapText="1"/>
    </xf>
    <xf numFmtId="3" fontId="6" fillId="6" borderId="5" xfId="0" applyNumberFormat="1" applyFont="1" applyFill="1" applyBorder="1" applyAlignment="1">
      <alignment horizontal="center" vertical="center"/>
    </xf>
    <xf numFmtId="3" fontId="6" fillId="6" borderId="28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3" fontId="6" fillId="6" borderId="4" xfId="0" quotePrefix="1" applyNumberFormat="1" applyFont="1" applyFill="1" applyBorder="1" applyAlignment="1">
      <alignment horizontal="center" vertical="center" wrapText="1"/>
    </xf>
    <xf numFmtId="3" fontId="6" fillId="6" borderId="6" xfId="0" quotePrefix="1" applyNumberFormat="1" applyFont="1" applyFill="1" applyBorder="1" applyAlignment="1">
      <alignment horizontal="center" vertical="center" wrapText="1"/>
    </xf>
    <xf numFmtId="0" fontId="4" fillId="6" borderId="0" xfId="0" applyFont="1" applyFill="1"/>
    <xf numFmtId="3" fontId="4" fillId="5" borderId="1" xfId="0" applyNumberFormat="1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 wrapText="1"/>
    </xf>
    <xf numFmtId="0" fontId="4" fillId="6" borderId="12" xfId="2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49" fontId="4" fillId="6" borderId="34" xfId="0" applyNumberFormat="1" applyFont="1" applyFill="1" applyBorder="1" applyAlignment="1">
      <alignment horizontal="left" vertical="center" wrapText="1"/>
    </xf>
    <xf numFmtId="3" fontId="4" fillId="6" borderId="7" xfId="0" applyNumberFormat="1" applyFont="1" applyFill="1" applyBorder="1" applyAlignment="1">
      <alignment horizontal="center" vertical="center"/>
    </xf>
    <xf numFmtId="166" fontId="4" fillId="6" borderId="77" xfId="0" applyNumberFormat="1" applyFont="1" applyFill="1" applyBorder="1" applyAlignment="1">
      <alignment horizontal="center" vertical="center"/>
    </xf>
    <xf numFmtId="3" fontId="4" fillId="6" borderId="34" xfId="0" applyNumberFormat="1" applyFont="1" applyFill="1" applyBorder="1" applyAlignment="1">
      <alignment horizontal="center" vertical="center"/>
    </xf>
    <xf numFmtId="49" fontId="4" fillId="6" borderId="18" xfId="0" applyNumberFormat="1" applyFont="1" applyFill="1" applyBorder="1" applyAlignment="1">
      <alignment horizontal="left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6" fontId="4" fillId="6" borderId="21" xfId="0" applyNumberFormat="1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center" vertical="center"/>
    </xf>
    <xf numFmtId="49" fontId="4" fillId="6" borderId="79" xfId="0" applyNumberFormat="1" applyFont="1" applyFill="1" applyBorder="1" applyAlignment="1">
      <alignment horizontal="left" vertical="center" wrapText="1"/>
    </xf>
    <xf numFmtId="3" fontId="4" fillId="6" borderId="75" xfId="0" applyNumberFormat="1" applyFont="1" applyFill="1" applyBorder="1" applyAlignment="1">
      <alignment horizontal="center" vertical="center"/>
    </xf>
    <xf numFmtId="166" fontId="4" fillId="6" borderId="70" xfId="0" applyNumberFormat="1" applyFont="1" applyFill="1" applyBorder="1" applyAlignment="1">
      <alignment horizontal="center" vertical="center"/>
    </xf>
    <xf numFmtId="3" fontId="4" fillId="6" borderId="79" xfId="0" applyNumberFormat="1" applyFont="1" applyFill="1" applyBorder="1" applyAlignment="1">
      <alignment horizontal="center" vertical="center"/>
    </xf>
    <xf numFmtId="166" fontId="6" fillId="6" borderId="56" xfId="0" applyNumberFormat="1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166" fontId="6" fillId="6" borderId="56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14" fontId="4" fillId="6" borderId="12" xfId="0" applyNumberFormat="1" applyFont="1" applyFill="1" applyBorder="1" applyAlignment="1">
      <alignment horizontal="center" vertical="center" wrapText="1"/>
    </xf>
    <xf numFmtId="14" fontId="4" fillId="6" borderId="11" xfId="0" applyNumberFormat="1" applyFont="1" applyFill="1" applyBorder="1" applyAlignment="1">
      <alignment horizontal="center" vertical="center" wrapText="1"/>
    </xf>
    <xf numFmtId="14" fontId="4" fillId="6" borderId="13" xfId="0" applyNumberFormat="1" applyFont="1" applyFill="1" applyBorder="1" applyAlignment="1">
      <alignment horizontal="center" vertical="center" wrapText="1"/>
    </xf>
    <xf numFmtId="166" fontId="4" fillId="6" borderId="62" xfId="0" applyNumberFormat="1" applyFont="1" applyFill="1" applyBorder="1" applyAlignment="1">
      <alignment horizontal="center" vertical="center"/>
    </xf>
    <xf numFmtId="166" fontId="4" fillId="6" borderId="10" xfId="0" applyNumberFormat="1" applyFont="1" applyFill="1" applyBorder="1" applyAlignment="1">
      <alignment horizontal="center" vertical="center"/>
    </xf>
    <xf numFmtId="14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2" borderId="97" xfId="0" applyFont="1" applyFill="1" applyBorder="1"/>
    <xf numFmtId="0" fontId="4" fillId="2" borderId="0" xfId="0" quotePrefix="1" applyFont="1" applyFill="1"/>
    <xf numFmtId="0" fontId="5" fillId="2" borderId="3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5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65" xfId="0" applyFont="1" applyFill="1" applyBorder="1" applyAlignment="1">
      <alignment horizontal="center" vertical="center"/>
    </xf>
    <xf numFmtId="0" fontId="4" fillId="6" borderId="6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wrapText="1"/>
    </xf>
    <xf numFmtId="3" fontId="4" fillId="5" borderId="7" xfId="0" applyNumberFormat="1" applyFont="1" applyFill="1" applyBorder="1" applyAlignment="1">
      <alignment horizontal="center" vertical="center"/>
    </xf>
    <xf numFmtId="3" fontId="4" fillId="5" borderId="11" xfId="0" applyNumberFormat="1" applyFont="1" applyFill="1" applyBorder="1" applyAlignment="1">
      <alignment horizontal="center" vertical="center"/>
    </xf>
    <xf numFmtId="14" fontId="4" fillId="2" borderId="58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/>
    </xf>
    <xf numFmtId="3" fontId="11" fillId="5" borderId="50" xfId="0" applyNumberFormat="1" applyFont="1" applyFill="1" applyBorder="1" applyAlignment="1">
      <alignment horizontal="center" vertical="center"/>
    </xf>
    <xf numFmtId="3" fontId="4" fillId="5" borderId="82" xfId="0" applyNumberFormat="1" applyFont="1" applyFill="1" applyBorder="1" applyAlignment="1">
      <alignment horizontal="center" vertical="center"/>
    </xf>
    <xf numFmtId="14" fontId="4" fillId="5" borderId="50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1" fillId="5" borderId="69" xfId="0" applyFont="1" applyFill="1" applyBorder="1" applyAlignment="1">
      <alignment wrapText="1"/>
    </xf>
    <xf numFmtId="3" fontId="4" fillId="5" borderId="0" xfId="0" applyNumberFormat="1" applyFont="1" applyFill="1" applyBorder="1" applyAlignment="1">
      <alignment horizontal="center" vertical="center" wrapText="1"/>
    </xf>
    <xf numFmtId="166" fontId="4" fillId="5" borderId="0" xfId="0" applyNumberFormat="1" applyFont="1" applyFill="1" applyBorder="1" applyAlignment="1">
      <alignment horizontal="center" vertical="center" wrapText="1"/>
    </xf>
    <xf numFmtId="166" fontId="4" fillId="5" borderId="57" xfId="0" applyNumberFormat="1" applyFont="1" applyFill="1" applyBorder="1" applyAlignment="1">
      <alignment horizontal="center" vertical="center" wrapText="1"/>
    </xf>
    <xf numFmtId="3" fontId="4" fillId="5" borderId="0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165" fontId="4" fillId="5" borderId="80" xfId="0" applyNumberFormat="1" applyFont="1" applyFill="1" applyBorder="1" applyAlignment="1">
      <alignment horizontal="center"/>
    </xf>
    <xf numFmtId="0" fontId="8" fillId="8" borderId="31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65" xfId="0" applyFont="1" applyFill="1" applyBorder="1" applyAlignment="1">
      <alignment horizontal="center" vertical="center"/>
    </xf>
    <xf numFmtId="0" fontId="4" fillId="7" borderId="6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wrapText="1"/>
    </xf>
    <xf numFmtId="166" fontId="6" fillId="5" borderId="96" xfId="0" applyNumberFormat="1" applyFont="1" applyFill="1" applyBorder="1" applyAlignment="1">
      <alignment horizontal="center" vertical="center" wrapText="1"/>
    </xf>
    <xf numFmtId="166" fontId="4" fillId="5" borderId="8" xfId="0" applyNumberFormat="1" applyFont="1" applyFill="1" applyBorder="1" applyAlignment="1">
      <alignment horizontal="center" vertical="center" wrapText="1"/>
    </xf>
    <xf numFmtId="166" fontId="4" fillId="5" borderId="10" xfId="0" applyNumberFormat="1" applyFont="1" applyFill="1" applyBorder="1" applyAlignment="1">
      <alignment horizontal="center" vertical="center" wrapText="1"/>
    </xf>
    <xf numFmtId="166" fontId="4" fillId="5" borderId="13" xfId="0" applyNumberFormat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9" fillId="6" borderId="67" xfId="0" applyFont="1" applyFill="1" applyBorder="1" applyAlignment="1">
      <alignment vertical="center" wrapText="1"/>
    </xf>
    <xf numFmtId="0" fontId="9" fillId="6" borderId="36" xfId="0" applyFont="1" applyFill="1" applyBorder="1" applyAlignment="1">
      <alignment horizontal="center" vertical="center" wrapText="1"/>
    </xf>
    <xf numFmtId="3" fontId="9" fillId="6" borderId="50" xfId="0" applyNumberFormat="1" applyFont="1" applyFill="1" applyBorder="1" applyAlignment="1">
      <alignment horizontal="center" vertical="center" wrapText="1"/>
    </xf>
    <xf numFmtId="3" fontId="9" fillId="6" borderId="38" xfId="0" applyNumberFormat="1" applyFont="1" applyFill="1" applyBorder="1" applyAlignment="1">
      <alignment horizontal="center" vertical="center" wrapText="1"/>
    </xf>
    <xf numFmtId="3" fontId="9" fillId="6" borderId="39" xfId="0" applyNumberFormat="1" applyFont="1" applyFill="1" applyBorder="1" applyAlignment="1">
      <alignment horizontal="center" vertical="center" wrapText="1"/>
    </xf>
    <xf numFmtId="165" fontId="9" fillId="6" borderId="39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1" fillId="2" borderId="0" xfId="0" quotePrefix="1" applyFont="1" applyFill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0" fontId="33" fillId="2" borderId="0" xfId="0" applyFont="1" applyFill="1" applyAlignment="1">
      <alignment horizontal="left"/>
    </xf>
    <xf numFmtId="3" fontId="4" fillId="2" borderId="10" xfId="0" quotePrefix="1" applyNumberFormat="1" applyFont="1" applyFill="1" applyBorder="1" applyAlignment="1">
      <alignment horizontal="center" vertical="center"/>
    </xf>
    <xf numFmtId="1" fontId="4" fillId="5" borderId="9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166" fontId="4" fillId="2" borderId="10" xfId="0" quotePrefix="1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left" vertical="center"/>
    </xf>
    <xf numFmtId="3" fontId="4" fillId="2" borderId="0" xfId="0" applyNumberFormat="1" applyFont="1" applyFill="1" applyBorder="1"/>
    <xf numFmtId="1" fontId="4" fillId="5" borderId="10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0" xfId="0" quotePrefix="1" applyNumberFormat="1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1" fontId="4" fillId="5" borderId="110" xfId="0" applyNumberFormat="1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3" fontId="4" fillId="2" borderId="30" xfId="0" quotePrefix="1" applyNumberFormat="1" applyFont="1" applyFill="1" applyBorder="1" applyAlignment="1">
      <alignment horizontal="center" vertical="center"/>
    </xf>
    <xf numFmtId="1" fontId="4" fillId="2" borderId="30" xfId="0" applyNumberFormat="1" applyFont="1" applyFill="1" applyBorder="1" applyAlignment="1">
      <alignment horizontal="center" vertical="center"/>
    </xf>
    <xf numFmtId="1" fontId="4" fillId="5" borderId="30" xfId="0" applyNumberFormat="1" applyFont="1" applyFill="1" applyBorder="1" applyAlignment="1">
      <alignment horizontal="center" vertical="center"/>
    </xf>
    <xf numFmtId="1" fontId="4" fillId="2" borderId="31" xfId="0" applyNumberFormat="1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1" fontId="4" fillId="2" borderId="30" xfId="0" quotePrefix="1" applyNumberFormat="1" applyFont="1" applyFill="1" applyBorder="1" applyAlignment="1">
      <alignment horizontal="center" vertical="center"/>
    </xf>
    <xf numFmtId="1" fontId="4" fillId="2" borderId="74" xfId="0" applyNumberFormat="1" applyFont="1" applyFill="1" applyBorder="1" applyAlignment="1">
      <alignment horizontal="center" vertical="center"/>
    </xf>
    <xf numFmtId="1" fontId="4" fillId="5" borderId="111" xfId="0" applyNumberFormat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3" fontId="8" fillId="2" borderId="30" xfId="0" applyNumberFormat="1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3" fontId="10" fillId="2" borderId="29" xfId="0" applyNumberFormat="1" applyFont="1" applyFill="1" applyBorder="1" applyAlignment="1">
      <alignment horizontal="center" vertical="center" wrapText="1"/>
    </xf>
    <xf numFmtId="3" fontId="10" fillId="2" borderId="74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6" fillId="5" borderId="64" xfId="0" applyFont="1" applyFill="1" applyBorder="1" applyAlignment="1">
      <alignment horizontal="left" vertical="center" wrapText="1"/>
    </xf>
    <xf numFmtId="2" fontId="16" fillId="5" borderId="22" xfId="0" applyNumberFormat="1" applyFont="1" applyFill="1" applyBorder="1" applyAlignment="1">
      <alignment horizontal="center" vertical="center"/>
    </xf>
    <xf numFmtId="2" fontId="16" fillId="5" borderId="24" xfId="0" applyNumberFormat="1" applyFont="1" applyFill="1" applyBorder="1" applyAlignment="1">
      <alignment horizontal="center" vertical="center" wrapText="1"/>
    </xf>
    <xf numFmtId="166" fontId="16" fillId="5" borderId="22" xfId="0" applyNumberFormat="1" applyFont="1" applyFill="1" applyBorder="1" applyAlignment="1">
      <alignment horizontal="center" vertical="center"/>
    </xf>
    <xf numFmtId="4" fontId="16" fillId="5" borderId="23" xfId="0" quotePrefix="1" applyNumberFormat="1" applyFont="1" applyFill="1" applyBorder="1" applyAlignment="1">
      <alignment horizontal="center" vertical="center"/>
    </xf>
    <xf numFmtId="4" fontId="16" fillId="5" borderId="24" xfId="0" quotePrefix="1" applyNumberFormat="1" applyFont="1" applyFill="1" applyBorder="1" applyAlignment="1">
      <alignment horizontal="center" vertical="center"/>
    </xf>
    <xf numFmtId="166" fontId="16" fillId="5" borderId="6" xfId="0" quotePrefix="1" applyNumberFormat="1" applyFont="1" applyFill="1" applyBorder="1" applyAlignment="1">
      <alignment horizontal="center" vertical="center"/>
    </xf>
    <xf numFmtId="166" fontId="16" fillId="5" borderId="5" xfId="0" applyNumberFormat="1" applyFont="1" applyFill="1" applyBorder="1" applyAlignment="1">
      <alignment horizontal="center" vertical="center"/>
    </xf>
    <xf numFmtId="166" fontId="16" fillId="5" borderId="4" xfId="0" applyNumberFormat="1" applyFont="1" applyFill="1" applyBorder="1" applyAlignment="1">
      <alignment horizontal="center" vertical="center"/>
    </xf>
    <xf numFmtId="2" fontId="16" fillId="5" borderId="6" xfId="0" applyNumberFormat="1" applyFont="1" applyFill="1" applyBorder="1" applyAlignment="1">
      <alignment horizontal="center" vertical="center"/>
    </xf>
    <xf numFmtId="2" fontId="16" fillId="5" borderId="4" xfId="0" applyNumberFormat="1" applyFont="1" applyFill="1" applyBorder="1" applyAlignment="1">
      <alignment horizontal="center" vertical="center"/>
    </xf>
    <xf numFmtId="0" fontId="16" fillId="5" borderId="55" xfId="0" applyFont="1" applyFill="1" applyBorder="1" applyAlignment="1">
      <alignment horizontal="left" vertical="center" wrapText="1"/>
    </xf>
    <xf numFmtId="0" fontId="17" fillId="5" borderId="41" xfId="0" applyFont="1" applyFill="1" applyBorder="1" applyAlignment="1">
      <alignment vertical="center" wrapText="1"/>
    </xf>
    <xf numFmtId="2" fontId="17" fillId="5" borderId="82" xfId="0" applyNumberFormat="1" applyFont="1" applyFill="1" applyBorder="1" applyAlignment="1">
      <alignment horizontal="center" vertical="center" wrapText="1"/>
    </xf>
    <xf numFmtId="2" fontId="17" fillId="5" borderId="43" xfId="0" applyNumberFormat="1" applyFont="1" applyFill="1" applyBorder="1" applyAlignment="1">
      <alignment horizontal="center" vertical="center" wrapText="1"/>
    </xf>
    <xf numFmtId="4" fontId="16" fillId="5" borderId="82" xfId="0" quotePrefix="1" applyNumberFormat="1" applyFont="1" applyFill="1" applyBorder="1" applyAlignment="1">
      <alignment horizontal="center" vertical="center"/>
    </xf>
    <xf numFmtId="4" fontId="16" fillId="5" borderId="26" xfId="0" quotePrefix="1" applyNumberFormat="1" applyFont="1" applyFill="1" applyBorder="1" applyAlignment="1">
      <alignment horizontal="center" vertical="center"/>
    </xf>
    <xf numFmtId="4" fontId="16" fillId="5" borderId="27" xfId="0" quotePrefix="1" applyNumberFormat="1" applyFont="1" applyFill="1" applyBorder="1" applyAlignment="1">
      <alignment horizontal="center" vertical="center"/>
    </xf>
    <xf numFmtId="4" fontId="17" fillId="5" borderId="82" xfId="0" applyNumberFormat="1" applyFont="1" applyFill="1" applyBorder="1" applyAlignment="1">
      <alignment horizontal="center" vertical="center"/>
    </xf>
    <xf numFmtId="166" fontId="17" fillId="5" borderId="26" xfId="0" quotePrefix="1" applyNumberFormat="1" applyFont="1" applyFill="1" applyBorder="1" applyAlignment="1">
      <alignment horizontal="center" vertical="center"/>
    </xf>
    <xf numFmtId="166" fontId="17" fillId="5" borderId="27" xfId="0" applyNumberFormat="1" applyFont="1" applyFill="1" applyBorder="1" applyAlignment="1">
      <alignment horizontal="center" vertical="center"/>
    </xf>
    <xf numFmtId="4" fontId="16" fillId="5" borderId="39" xfId="0" quotePrefix="1" applyNumberFormat="1" applyFont="1" applyFill="1" applyBorder="1" applyAlignment="1">
      <alignment horizontal="center" vertical="center"/>
    </xf>
    <xf numFmtId="4" fontId="16" fillId="5" borderId="38" xfId="0" quotePrefix="1" applyNumberFormat="1" applyFont="1" applyFill="1" applyBorder="1" applyAlignment="1">
      <alignment horizontal="center" vertical="center"/>
    </xf>
    <xf numFmtId="166" fontId="16" fillId="5" borderId="50" xfId="0" applyNumberFormat="1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 wrapText="1"/>
    </xf>
    <xf numFmtId="2" fontId="16" fillId="5" borderId="50" xfId="0" applyNumberFormat="1" applyFont="1" applyFill="1" applyBorder="1" applyAlignment="1">
      <alignment horizontal="center" vertical="center"/>
    </xf>
    <xf numFmtId="0" fontId="16" fillId="5" borderId="67" xfId="0" applyFont="1" applyFill="1" applyBorder="1" applyAlignment="1">
      <alignment horizontal="left" vertical="center" wrapText="1"/>
    </xf>
    <xf numFmtId="0" fontId="25" fillId="5" borderId="0" xfId="0" applyFont="1" applyFill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165" fontId="8" fillId="5" borderId="27" xfId="0" applyNumberFormat="1" applyFont="1" applyFill="1" applyBorder="1" applyAlignment="1">
      <alignment horizontal="left" vertical="center" wrapText="1"/>
    </xf>
    <xf numFmtId="165" fontId="8" fillId="5" borderId="10" xfId="0" applyNumberFormat="1" applyFont="1" applyFill="1" applyBorder="1" applyAlignment="1">
      <alignment horizontal="left" vertical="center" wrapText="1"/>
    </xf>
    <xf numFmtId="165" fontId="8" fillId="5" borderId="10" xfId="0" quotePrefix="1" applyNumberFormat="1" applyFont="1" applyFill="1" applyBorder="1" applyAlignment="1">
      <alignment horizontal="left" vertical="center" wrapText="1"/>
    </xf>
    <xf numFmtId="165" fontId="8" fillId="5" borderId="49" xfId="0" applyNumberFormat="1" applyFont="1" applyFill="1" applyBorder="1" applyAlignment="1">
      <alignment horizontal="left" vertical="center" wrapText="1"/>
    </xf>
    <xf numFmtId="165" fontId="4" fillId="5" borderId="10" xfId="0" applyNumberFormat="1" applyFont="1" applyFill="1" applyBorder="1" applyAlignment="1">
      <alignment horizontal="left"/>
    </xf>
    <xf numFmtId="165" fontId="4" fillId="5" borderId="10" xfId="0" applyNumberFormat="1" applyFont="1" applyFill="1" applyBorder="1" applyAlignment="1">
      <alignment horizontal="center"/>
    </xf>
    <xf numFmtId="165" fontId="8" fillId="5" borderId="49" xfId="0" applyNumberFormat="1" applyFont="1" applyFill="1" applyBorder="1" applyAlignment="1">
      <alignment horizontal="center" vertical="center" wrapText="1"/>
    </xf>
    <xf numFmtId="165" fontId="8" fillId="5" borderId="10" xfId="0" quotePrefix="1" applyNumberFormat="1" applyFont="1" applyFill="1" applyBorder="1" applyAlignment="1">
      <alignment horizontal="center" vertical="center" wrapText="1"/>
    </xf>
    <xf numFmtId="165" fontId="8" fillId="5" borderId="10" xfId="0" applyNumberFormat="1" applyFont="1" applyFill="1" applyBorder="1" applyAlignment="1">
      <alignment horizontal="center" vertical="center" wrapText="1"/>
    </xf>
    <xf numFmtId="165" fontId="8" fillId="5" borderId="27" xfId="0" applyNumberFormat="1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 wrapText="1"/>
    </xf>
    <xf numFmtId="0" fontId="4" fillId="6" borderId="65" xfId="0" applyFont="1" applyFill="1" applyBorder="1" applyAlignment="1">
      <alignment horizontal="center" vertical="center"/>
    </xf>
    <xf numFmtId="0" fontId="4" fillId="6" borderId="66" xfId="0" applyFont="1" applyFill="1" applyBorder="1" applyAlignment="1">
      <alignment horizontal="center" vertical="center"/>
    </xf>
    <xf numFmtId="0" fontId="4" fillId="6" borderId="92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14" fontId="4" fillId="6" borderId="5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6" borderId="36" xfId="0" applyFont="1" applyFill="1" applyBorder="1"/>
    <xf numFmtId="0" fontId="4" fillId="5" borderId="13" xfId="0" applyFont="1" applyFill="1" applyBorder="1" applyAlignment="1">
      <alignment horizontal="center" vertical="center" wrapText="1"/>
    </xf>
    <xf numFmtId="0" fontId="36" fillId="2" borderId="0" xfId="0" applyFont="1" applyFill="1"/>
    <xf numFmtId="0" fontId="25" fillId="2" borderId="0" xfId="0" applyFont="1" applyFill="1"/>
    <xf numFmtId="0" fontId="8" fillId="6" borderId="12" xfId="0" applyFont="1" applyFill="1" applyBorder="1" applyAlignment="1">
      <alignment horizontal="center" vertical="center" wrapText="1"/>
    </xf>
    <xf numFmtId="3" fontId="4" fillId="2" borderId="65" xfId="0" applyNumberFormat="1" applyFont="1" applyFill="1" applyBorder="1" applyAlignment="1">
      <alignment horizontal="center" vertical="center"/>
    </xf>
    <xf numFmtId="166" fontId="5" fillId="2" borderId="65" xfId="0" applyNumberFormat="1" applyFont="1" applyFill="1" applyBorder="1" applyAlignment="1">
      <alignment horizontal="center" vertical="center"/>
    </xf>
    <xf numFmtId="166" fontId="4" fillId="2" borderId="65" xfId="0" applyNumberFormat="1" applyFont="1" applyFill="1" applyBorder="1" applyAlignment="1">
      <alignment horizontal="center" vertical="center"/>
    </xf>
    <xf numFmtId="3" fontId="4" fillId="2" borderId="65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 applyBorder="1" applyAlignment="1">
      <alignment horizontal="center" vertical="center"/>
    </xf>
    <xf numFmtId="0" fontId="4" fillId="2" borderId="48" xfId="0" applyFont="1" applyFill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92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3" fontId="5" fillId="9" borderId="9" xfId="0" applyNumberFormat="1" applyFont="1" applyFill="1" applyBorder="1" applyAlignment="1">
      <alignment horizontal="center" vertical="center"/>
    </xf>
    <xf numFmtId="3" fontId="4" fillId="9" borderId="1" xfId="0" applyNumberFormat="1" applyFont="1" applyFill="1" applyBorder="1" applyAlignment="1">
      <alignment horizontal="center" vertical="center"/>
    </xf>
    <xf numFmtId="166" fontId="5" fillId="9" borderId="10" xfId="0" applyNumberFormat="1" applyFont="1" applyFill="1" applyBorder="1" applyAlignment="1">
      <alignment horizontal="center" vertical="center"/>
    </xf>
    <xf numFmtId="3" fontId="4" fillId="9" borderId="9" xfId="0" applyNumberFormat="1" applyFont="1" applyFill="1" applyBorder="1" applyAlignment="1">
      <alignment horizontal="center" vertical="center"/>
    </xf>
    <xf numFmtId="166" fontId="4" fillId="9" borderId="10" xfId="0" applyNumberFormat="1" applyFont="1" applyFill="1" applyBorder="1" applyAlignment="1">
      <alignment horizontal="center" vertical="center"/>
    </xf>
    <xf numFmtId="3" fontId="4" fillId="9" borderId="18" xfId="0" applyNumberFormat="1" applyFont="1" applyFill="1" applyBorder="1" applyAlignment="1">
      <alignment horizontal="center" vertical="center"/>
    </xf>
    <xf numFmtId="3" fontId="4" fillId="9" borderId="30" xfId="0" applyNumberFormat="1" applyFont="1" applyFill="1" applyBorder="1" applyAlignment="1">
      <alignment horizontal="center" vertical="center"/>
    </xf>
    <xf numFmtId="3" fontId="4" fillId="9" borderId="10" xfId="0" applyNumberFormat="1" applyFont="1" applyFill="1" applyBorder="1" applyAlignment="1">
      <alignment horizontal="center" vertical="center"/>
    </xf>
    <xf numFmtId="3" fontId="4" fillId="9" borderId="9" xfId="0" applyNumberFormat="1" applyFont="1" applyFill="1" applyBorder="1" applyAlignment="1">
      <alignment horizontal="center" vertical="center" wrapText="1"/>
    </xf>
    <xf numFmtId="3" fontId="4" fillId="9" borderId="18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/>
    <xf numFmtId="0" fontId="5" fillId="9" borderId="33" xfId="0" applyFont="1" applyFill="1" applyBorder="1"/>
    <xf numFmtId="3" fontId="5" fillId="9" borderId="11" xfId="0" applyNumberFormat="1" applyFont="1" applyFill="1" applyBorder="1" applyAlignment="1">
      <alignment horizontal="center" vertical="center"/>
    </xf>
    <xf numFmtId="3" fontId="4" fillId="9" borderId="12" xfId="0" applyNumberFormat="1" applyFont="1" applyFill="1" applyBorder="1" applyAlignment="1">
      <alignment horizontal="center" vertical="center"/>
    </xf>
    <xf numFmtId="166" fontId="5" fillId="9" borderId="13" xfId="0" applyNumberFormat="1" applyFont="1" applyFill="1" applyBorder="1" applyAlignment="1">
      <alignment horizontal="center" vertical="center"/>
    </xf>
    <xf numFmtId="3" fontId="4" fillId="9" borderId="11" xfId="0" applyNumberFormat="1" applyFont="1" applyFill="1" applyBorder="1" applyAlignment="1">
      <alignment horizontal="center" vertical="center"/>
    </xf>
    <xf numFmtId="166" fontId="4" fillId="9" borderId="13" xfId="0" applyNumberFormat="1" applyFont="1" applyFill="1" applyBorder="1" applyAlignment="1">
      <alignment horizontal="center" vertical="center"/>
    </xf>
    <xf numFmtId="3" fontId="4" fillId="9" borderId="33" xfId="0" applyNumberFormat="1" applyFont="1" applyFill="1" applyBorder="1" applyAlignment="1">
      <alignment horizontal="center" vertical="center"/>
    </xf>
    <xf numFmtId="3" fontId="4" fillId="9" borderId="31" xfId="0" applyNumberFormat="1" applyFont="1" applyFill="1" applyBorder="1" applyAlignment="1">
      <alignment horizontal="center" vertical="center"/>
    </xf>
    <xf numFmtId="3" fontId="4" fillId="9" borderId="13" xfId="0" applyNumberFormat="1" applyFont="1" applyFill="1" applyBorder="1" applyAlignment="1">
      <alignment horizontal="center" vertical="center"/>
    </xf>
    <xf numFmtId="3" fontId="4" fillId="9" borderId="11" xfId="0" applyNumberFormat="1" applyFont="1" applyFill="1" applyBorder="1" applyAlignment="1">
      <alignment horizontal="center" vertical="center" wrapText="1"/>
    </xf>
    <xf numFmtId="3" fontId="4" fillId="9" borderId="33" xfId="0" applyNumberFormat="1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left" vertical="center" wrapText="1"/>
    </xf>
    <xf numFmtId="3" fontId="4" fillId="10" borderId="9" xfId="0" applyNumberFormat="1" applyFont="1" applyFill="1" applyBorder="1" applyAlignment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166" fontId="5" fillId="10" borderId="10" xfId="0" applyNumberFormat="1" applyFont="1" applyFill="1" applyBorder="1" applyAlignment="1">
      <alignment horizontal="center" vertical="center"/>
    </xf>
    <xf numFmtId="166" fontId="4" fillId="10" borderId="10" xfId="0" applyNumberFormat="1" applyFont="1" applyFill="1" applyBorder="1" applyAlignment="1">
      <alignment horizontal="center" vertical="center"/>
    </xf>
    <xf numFmtId="3" fontId="4" fillId="10" borderId="18" xfId="0" applyNumberFormat="1" applyFont="1" applyFill="1" applyBorder="1" applyAlignment="1">
      <alignment horizontal="center" vertical="center"/>
    </xf>
    <xf numFmtId="3" fontId="4" fillId="10" borderId="30" xfId="0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3" fontId="4" fillId="10" borderId="9" xfId="0" applyNumberFormat="1" applyFont="1" applyFill="1" applyBorder="1" applyAlignment="1">
      <alignment horizontal="center" vertical="center" wrapText="1"/>
    </xf>
    <xf numFmtId="3" fontId="4" fillId="10" borderId="18" xfId="0" applyNumberFormat="1" applyFont="1" applyFill="1" applyBorder="1" applyAlignment="1">
      <alignment horizontal="center" vertical="center" wrapText="1"/>
    </xf>
    <xf numFmtId="0" fontId="10" fillId="5" borderId="82" xfId="0" applyFont="1" applyFill="1" applyBorder="1" applyAlignment="1">
      <alignment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165" fontId="10" fillId="5" borderId="27" xfId="0" applyNumberFormat="1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vertical="center" wrapText="1"/>
    </xf>
    <xf numFmtId="0" fontId="10" fillId="5" borderId="10" xfId="0" applyFont="1" applyFill="1" applyBorder="1" applyAlignment="1">
      <alignment horizontal="center" vertical="center" wrapText="1"/>
    </xf>
    <xf numFmtId="3" fontId="10" fillId="5" borderId="30" xfId="0" applyNumberFormat="1" applyFont="1" applyFill="1" applyBorder="1" applyAlignment="1">
      <alignment horizontal="center" vertical="center" wrapText="1"/>
    </xf>
    <xf numFmtId="165" fontId="10" fillId="5" borderId="10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31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 wrapText="1"/>
    </xf>
    <xf numFmtId="0" fontId="4" fillId="6" borderId="84" xfId="0" applyFont="1" applyFill="1" applyBorder="1" applyAlignment="1">
      <alignment horizontal="center" vertical="center" wrapText="1"/>
    </xf>
    <xf numFmtId="2" fontId="8" fillId="6" borderId="64" xfId="0" applyNumberFormat="1" applyFont="1" applyFill="1" applyBorder="1" applyAlignment="1">
      <alignment horizontal="center" vertical="center" wrapText="1"/>
    </xf>
    <xf numFmtId="0" fontId="4" fillId="6" borderId="69" xfId="0" applyFont="1" applyFill="1" applyBorder="1" applyAlignment="1">
      <alignment horizontal="center" vertical="center" wrapText="1"/>
    </xf>
    <xf numFmtId="2" fontId="8" fillId="6" borderId="24" xfId="0" applyNumberFormat="1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wrapText="1"/>
    </xf>
    <xf numFmtId="2" fontId="8" fillId="6" borderId="92" xfId="0" applyNumberFormat="1" applyFont="1" applyFill="1" applyBorder="1" applyAlignment="1">
      <alignment horizontal="center" vertical="center" wrapText="1"/>
    </xf>
    <xf numFmtId="0" fontId="4" fillId="6" borderId="85" xfId="0" applyFont="1" applyFill="1" applyBorder="1" applyAlignment="1">
      <alignment horizontal="center" vertical="center" wrapText="1"/>
    </xf>
    <xf numFmtId="0" fontId="4" fillId="6" borderId="86" xfId="0" applyFont="1" applyFill="1" applyBorder="1" applyAlignment="1">
      <alignment horizontal="center" vertical="center" wrapText="1"/>
    </xf>
    <xf numFmtId="2" fontId="8" fillId="6" borderId="87" xfId="0" applyNumberFormat="1" applyFont="1" applyFill="1" applyBorder="1" applyAlignment="1">
      <alignment horizontal="center" vertical="center" wrapText="1"/>
    </xf>
    <xf numFmtId="165" fontId="4" fillId="6" borderId="32" xfId="0" applyNumberFormat="1" applyFont="1" applyFill="1" applyBorder="1" applyAlignment="1">
      <alignment horizontal="center" vertical="center"/>
    </xf>
    <xf numFmtId="3" fontId="4" fillId="6" borderId="81" xfId="0" applyNumberFormat="1" applyFont="1" applyFill="1" applyBorder="1" applyAlignment="1">
      <alignment horizontal="center" vertical="center"/>
    </xf>
    <xf numFmtId="2" fontId="8" fillId="6" borderId="29" xfId="0" applyNumberFormat="1" applyFont="1" applyFill="1" applyBorder="1" applyAlignment="1">
      <alignment horizontal="left" vertical="center" wrapText="1"/>
    </xf>
    <xf numFmtId="2" fontId="8" fillId="6" borderId="27" xfId="0" applyNumberFormat="1" applyFont="1" applyFill="1" applyBorder="1" applyAlignment="1">
      <alignment horizontal="left" vertical="center" wrapText="1"/>
    </xf>
    <xf numFmtId="2" fontId="8" fillId="6" borderId="82" xfId="0" quotePrefix="1" applyNumberFormat="1" applyFont="1" applyFill="1" applyBorder="1" applyAlignment="1">
      <alignment horizontal="center" vertical="center" wrapText="1"/>
    </xf>
    <xf numFmtId="0" fontId="14" fillId="6" borderId="99" xfId="5" quotePrefix="1" applyFill="1" applyBorder="1" applyAlignment="1">
      <alignment horizontal="center" vertical="center" wrapText="1"/>
    </xf>
    <xf numFmtId="0" fontId="14" fillId="6" borderId="49" xfId="5" quotePrefix="1" applyFill="1" applyBorder="1" applyAlignment="1">
      <alignment horizontal="left" vertical="center" wrapText="1"/>
    </xf>
    <xf numFmtId="3" fontId="8" fillId="6" borderId="30" xfId="2" applyNumberFormat="1" applyFont="1" applyFill="1" applyBorder="1" applyAlignment="1">
      <alignment horizontal="center" vertical="center" wrapText="1"/>
    </xf>
    <xf numFmtId="3" fontId="8" fillId="6" borderId="45" xfId="2" applyNumberFormat="1" applyFont="1" applyFill="1" applyBorder="1" applyAlignment="1">
      <alignment horizontal="center" vertical="center" wrapText="1"/>
    </xf>
    <xf numFmtId="166" fontId="8" fillId="6" borderId="18" xfId="2" applyNumberFormat="1" applyFont="1" applyFill="1" applyBorder="1" applyAlignment="1">
      <alignment horizontal="center" vertical="center" wrapText="1"/>
    </xf>
    <xf numFmtId="166" fontId="8" fillId="6" borderId="3" xfId="2" applyNumberFormat="1" applyFont="1" applyFill="1" applyBorder="1" applyAlignment="1">
      <alignment horizontal="center" vertical="center" wrapText="1"/>
    </xf>
    <xf numFmtId="3" fontId="8" fillId="6" borderId="52" xfId="2" applyNumberFormat="1" applyFont="1" applyFill="1" applyBorder="1" applyAlignment="1">
      <alignment horizontal="center" vertical="center" wrapText="1"/>
    </xf>
    <xf numFmtId="3" fontId="8" fillId="6" borderId="28" xfId="2" applyNumberFormat="1" applyFont="1" applyFill="1" applyBorder="1" applyAlignment="1">
      <alignment horizontal="center" vertical="center" wrapText="1"/>
    </xf>
    <xf numFmtId="0" fontId="14" fillId="6" borderId="6" xfId="7" quotePrefix="1" applyFill="1" applyBorder="1" applyAlignment="1">
      <alignment horizontal="left" vertical="center" wrapText="1"/>
    </xf>
    <xf numFmtId="0" fontId="14" fillId="6" borderId="55" xfId="7" quotePrefix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4" fillId="6" borderId="44" xfId="0" applyFont="1" applyFill="1" applyBorder="1"/>
    <xf numFmtId="0" fontId="4" fillId="6" borderId="55" xfId="0" applyFont="1" applyFill="1" applyBorder="1"/>
    <xf numFmtId="0" fontId="4" fillId="6" borderId="56" xfId="0" applyFont="1" applyFill="1" applyBorder="1"/>
    <xf numFmtId="0" fontId="4" fillId="6" borderId="82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39" xfId="0" applyFont="1" applyFill="1" applyBorder="1" applyAlignment="1">
      <alignment horizontal="center" vertical="center" wrapText="1"/>
    </xf>
    <xf numFmtId="0" fontId="16" fillId="6" borderId="50" xfId="0" applyFont="1" applyFill="1" applyBorder="1" applyAlignment="1">
      <alignment horizontal="center" vertical="center" wrapText="1"/>
    </xf>
    <xf numFmtId="0" fontId="16" fillId="6" borderId="38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81" xfId="0" applyFont="1" applyFill="1" applyBorder="1" applyAlignment="1">
      <alignment horizontal="right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7" fillId="6" borderId="5" xfId="0" applyNumberFormat="1" applyFont="1" applyFill="1" applyBorder="1" applyAlignment="1">
      <alignment horizontal="center" vertical="center"/>
    </xf>
    <xf numFmtId="49" fontId="7" fillId="6" borderId="52" xfId="0" applyNumberFormat="1" applyFont="1" applyFill="1" applyBorder="1" applyAlignment="1">
      <alignment horizontal="center" vertical="center"/>
    </xf>
    <xf numFmtId="49" fontId="7" fillId="6" borderId="28" xfId="0" applyNumberFormat="1" applyFont="1" applyFill="1" applyBorder="1" applyAlignment="1">
      <alignment horizontal="center" vertical="center"/>
    </xf>
    <xf numFmtId="49" fontId="7" fillId="6" borderId="56" xfId="0" applyNumberFormat="1" applyFont="1" applyFill="1" applyBorder="1" applyAlignment="1">
      <alignment horizontal="center" vertical="center" wrapText="1"/>
    </xf>
    <xf numFmtId="3" fontId="21" fillId="2" borderId="0" xfId="0" applyNumberFormat="1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166" fontId="4" fillId="5" borderId="45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 vertical="center" wrapText="1"/>
    </xf>
    <xf numFmtId="3" fontId="4" fillId="2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center"/>
    </xf>
    <xf numFmtId="0" fontId="37" fillId="0" borderId="0" xfId="0" applyFont="1" applyAlignment="1">
      <alignment horizontal="justify" vertical="center"/>
    </xf>
    <xf numFmtId="0" fontId="4" fillId="6" borderId="44" xfId="0" applyFont="1" applyFill="1" applyBorder="1" applyAlignment="1">
      <alignment horizontal="left" vertical="center" wrapText="1"/>
    </xf>
    <xf numFmtId="0" fontId="4" fillId="6" borderId="48" xfId="0" applyFont="1" applyFill="1" applyBorder="1" applyAlignment="1">
      <alignment horizontal="left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84" xfId="0" applyFont="1" applyFill="1" applyBorder="1" applyAlignment="1">
      <alignment horizontal="center" vertical="center" wrapText="1"/>
    </xf>
    <xf numFmtId="0" fontId="15" fillId="6" borderId="50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horizontal="center" vertical="center" wrapText="1"/>
    </xf>
    <xf numFmtId="0" fontId="15" fillId="6" borderId="80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 wrapText="1"/>
    </xf>
    <xf numFmtId="0" fontId="4" fillId="6" borderId="67" xfId="0" applyFont="1" applyFill="1" applyBorder="1" applyAlignment="1">
      <alignment horizontal="center" vertical="center" wrapText="1"/>
    </xf>
    <xf numFmtId="0" fontId="4" fillId="6" borderId="82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81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83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84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66" xfId="0" applyFont="1" applyFill="1" applyBorder="1" applyAlignment="1">
      <alignment horizontal="center" vertical="center" wrapText="1"/>
    </xf>
    <xf numFmtId="0" fontId="4" fillId="6" borderId="76" xfId="0" applyFont="1" applyFill="1" applyBorder="1" applyAlignment="1">
      <alignment horizontal="center" vertical="center" wrapText="1"/>
    </xf>
    <xf numFmtId="0" fontId="4" fillId="6" borderId="77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/>
    </xf>
    <xf numFmtId="0" fontId="4" fillId="6" borderId="64" xfId="0" applyFont="1" applyFill="1" applyBorder="1" applyAlignment="1">
      <alignment horizontal="center" vertical="center"/>
    </xf>
    <xf numFmtId="0" fontId="4" fillId="6" borderId="65" xfId="0" applyFont="1" applyFill="1" applyBorder="1" applyAlignment="1">
      <alignment horizontal="center" vertical="center"/>
    </xf>
    <xf numFmtId="0" fontId="4" fillId="6" borderId="66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6" borderId="67" xfId="0" applyFont="1" applyFill="1" applyBorder="1" applyAlignment="1">
      <alignment horizontal="center" vertical="center"/>
    </xf>
    <xf numFmtId="14" fontId="4" fillId="6" borderId="82" xfId="0" applyNumberFormat="1" applyFont="1" applyFill="1" applyBorder="1" applyAlignment="1">
      <alignment horizontal="center" vertical="center" wrapText="1"/>
    </xf>
    <xf numFmtId="14" fontId="4" fillId="6" borderId="27" xfId="0" applyNumberFormat="1" applyFont="1" applyFill="1" applyBorder="1" applyAlignment="1">
      <alignment horizontal="center" vertical="center" wrapText="1"/>
    </xf>
    <xf numFmtId="14" fontId="4" fillId="6" borderId="26" xfId="0" applyNumberFormat="1" applyFont="1" applyFill="1" applyBorder="1" applyAlignment="1">
      <alignment horizontal="center" vertical="center" wrapText="1"/>
    </xf>
    <xf numFmtId="0" fontId="4" fillId="6" borderId="92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14" fontId="4" fillId="6" borderId="5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14" fontId="4" fillId="6" borderId="41" xfId="0" applyNumberFormat="1" applyFont="1" applyFill="1" applyBorder="1" applyAlignment="1">
      <alignment horizontal="center" vertical="center" wrapText="1"/>
    </xf>
    <xf numFmtId="14" fontId="4" fillId="6" borderId="43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6" borderId="82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11" borderId="82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0" fontId="8" fillId="11" borderId="27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/>
    </xf>
    <xf numFmtId="0" fontId="8" fillId="8" borderId="44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30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0" fontId="4" fillId="5" borderId="26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6" borderId="6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7" borderId="71" xfId="0" applyFont="1" applyFill="1" applyBorder="1" applyAlignment="1">
      <alignment horizontal="center" vertical="center" wrapText="1"/>
    </xf>
    <xf numFmtId="0" fontId="4" fillId="7" borderId="72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5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6" borderId="71" xfId="0" applyFont="1" applyFill="1" applyBorder="1" applyAlignment="1">
      <alignment horizontal="center"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84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2" fontId="8" fillId="6" borderId="44" xfId="0" applyNumberFormat="1" applyFont="1" applyFill="1" applyBorder="1" applyAlignment="1">
      <alignment horizontal="center" vertical="center" wrapText="1"/>
    </xf>
    <xf numFmtId="2" fontId="8" fillId="6" borderId="36" xfId="0" applyNumberFormat="1" applyFont="1" applyFill="1" applyBorder="1" applyAlignment="1">
      <alignment horizontal="center" vertical="center" wrapText="1"/>
    </xf>
    <xf numFmtId="0" fontId="8" fillId="6" borderId="64" xfId="0" applyFont="1" applyFill="1" applyBorder="1" applyAlignment="1">
      <alignment horizontal="center" vertical="center" wrapText="1"/>
    </xf>
    <xf numFmtId="0" fontId="4" fillId="6" borderId="67" xfId="0" applyFont="1" applyFill="1" applyBorder="1"/>
    <xf numFmtId="0" fontId="8" fillId="6" borderId="44" xfId="0" applyFont="1" applyFill="1" applyBorder="1" applyAlignment="1">
      <alignment horizontal="center" vertical="center" wrapText="1"/>
    </xf>
    <xf numFmtId="0" fontId="4" fillId="6" borderId="36" xfId="0" applyFont="1" applyFill="1" applyBorder="1"/>
    <xf numFmtId="0" fontId="8" fillId="6" borderId="41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4" fillId="6" borderId="43" xfId="0" applyFont="1" applyFill="1" applyBorder="1"/>
    <xf numFmtId="0" fontId="8" fillId="6" borderId="66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/>
    <xf numFmtId="0" fontId="4" fillId="2" borderId="0" xfId="0" applyFont="1" applyFill="1" applyBorder="1" applyAlignment="1"/>
    <xf numFmtId="0" fontId="4" fillId="6" borderId="81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6" borderId="84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 wrapText="1"/>
    </xf>
    <xf numFmtId="0" fontId="4" fillId="6" borderId="8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left" vertical="center" wrapText="1"/>
    </xf>
    <xf numFmtId="0" fontId="16" fillId="2" borderId="57" xfId="0" applyFont="1" applyFill="1" applyBorder="1" applyAlignment="1">
      <alignment horizontal="left" vertical="center" wrapText="1"/>
    </xf>
    <xf numFmtId="0" fontId="16" fillId="2" borderId="56" xfId="0" applyFont="1" applyFill="1" applyBorder="1" applyAlignment="1">
      <alignment horizontal="left" vertical="center" wrapText="1"/>
    </xf>
    <xf numFmtId="0" fontId="16" fillId="6" borderId="44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55" xfId="0" applyFont="1" applyFill="1" applyBorder="1" applyAlignment="1">
      <alignment horizontal="center" vertical="center" wrapText="1"/>
    </xf>
    <xf numFmtId="0" fontId="16" fillId="6" borderId="56" xfId="0" applyFont="1" applyFill="1" applyBorder="1" applyAlignment="1">
      <alignment horizontal="center" vertical="center" wrapText="1"/>
    </xf>
    <xf numFmtId="0" fontId="16" fillId="6" borderId="57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</cellXfs>
  <cellStyles count="12">
    <cellStyle name="Dziesiętny" xfId="2" builtinId="3"/>
    <cellStyle name="Normalny" xfId="0" builtinId="0"/>
    <cellStyle name="Procentowy" xfId="3" builtinId="5"/>
    <cellStyle name="S0" xfId="9" xr:uid="{00000000-0005-0000-0000-000003000000}"/>
    <cellStyle name="S10" xfId="6" xr:uid="{00000000-0005-0000-0000-000004000000}"/>
    <cellStyle name="S11" xfId="7" xr:uid="{00000000-0005-0000-0000-000005000000}"/>
    <cellStyle name="S14" xfId="4" xr:uid="{00000000-0005-0000-0000-000006000000}"/>
    <cellStyle name="S15" xfId="11" xr:uid="{667CAFB8-96F4-4994-A13C-FAE3F9AF301B}"/>
    <cellStyle name="S5" xfId="8" xr:uid="{00000000-0005-0000-0000-000007000000}"/>
    <cellStyle name="S6" xfId="1" xr:uid="{00000000-0005-0000-0000-000008000000}"/>
    <cellStyle name="S7" xfId="10" xr:uid="{0CC5D371-E3F8-433C-B784-E3B9DA600856}"/>
    <cellStyle name="S8" xfId="5" xr:uid="{00000000-0005-0000-0000-000009000000}"/>
  </cellStyles>
  <dxfs count="0"/>
  <tableStyles count="0" defaultTableStyle="TableStyleMedium2" defaultPivotStyle="PivotStyleLight16"/>
  <colors>
    <mruColors>
      <color rgb="FFFFF2E5"/>
      <color rgb="FFFFEEDD"/>
      <color rgb="FFFEEFE2"/>
      <color rgb="FFFFFBF7"/>
      <color rgb="FF333300"/>
      <color rgb="FFF57E1B"/>
      <color rgb="FFCCDAEC"/>
      <color rgb="FFFFFFFF"/>
      <color rgb="FFE7E2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osoby bezrobotne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posiadające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obywatelstwo </a:t>
            </a: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ukraińskie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 bezrobotnych ogółem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wg powiatów, w proc.</a:t>
            </a:r>
            <a:endParaRPr lang="en-US" sz="1100" b="0" dirty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8941164248127833"/>
          <c:y val="0.612386590082903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69221475391621"/>
          <c:y val="4.0571346773435428E-2"/>
          <c:w val="0.68372612448717252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T.III!$O$5</c:f>
              <c:strCache>
                <c:ptCount val="1"/>
                <c:pt idx="0">
                  <c:v>najwyższy proc.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C6-4DD1-8401-88C85706C7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C6-4DD1-8401-88C85706C7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C6-4DD1-8401-88C85706C7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C6-4DD1-8401-88C85706C72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C6-4DD1-8401-88C85706C72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0C6-4DD1-8401-88C85706C72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0C6-4DD1-8401-88C85706C72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0C6-4DD1-8401-88C85706C72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0C6-4DD1-8401-88C85706C72D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C6-4DD1-8401-88C85706C7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Georgia" panose="02040502050405020303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T.III!$O$6:$O$26</c:f>
              <c:strCache>
                <c:ptCount val="21"/>
                <c:pt idx="0">
                  <c:v>rzeszowski + mnpp</c:v>
                </c:pt>
                <c:pt idx="1">
                  <c:v>przemyski + mnpp</c:v>
                </c:pt>
                <c:pt idx="2">
                  <c:v>krośnieński + mnpp</c:v>
                </c:pt>
                <c:pt idx="3">
                  <c:v>mielecki</c:v>
                </c:pt>
                <c:pt idx="4">
                  <c:v>bieszczadzki</c:v>
                </c:pt>
                <c:pt idx="5">
                  <c:v>stalowowolski</c:v>
                </c:pt>
                <c:pt idx="6">
                  <c:v>sanocki</c:v>
                </c:pt>
                <c:pt idx="7">
                  <c:v>dębicki</c:v>
                </c:pt>
                <c:pt idx="8">
                  <c:v>tarnobrzeski + mnpp</c:v>
                </c:pt>
                <c:pt idx="9">
                  <c:v>leski</c:v>
                </c:pt>
                <c:pt idx="10">
                  <c:v>jarosławski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niżański</c:v>
                </c:pt>
                <c:pt idx="14">
                  <c:v>przeworski</c:v>
                </c:pt>
                <c:pt idx="15">
                  <c:v>jasielski</c:v>
                </c:pt>
                <c:pt idx="16">
                  <c:v>leżajski</c:v>
                </c:pt>
                <c:pt idx="17">
                  <c:v>lubaczowski</c:v>
                </c:pt>
                <c:pt idx="18">
                  <c:v>kolbuszowski</c:v>
                </c:pt>
                <c:pt idx="19">
                  <c:v>brzozowski</c:v>
                </c:pt>
                <c:pt idx="20">
                  <c:v>strzyżowski</c:v>
                </c:pt>
              </c:strCache>
            </c:strRef>
          </c:cat>
          <c:val>
            <c:numRef>
              <c:f>T.III!$P$6:$P$26</c:f>
              <c:numCache>
                <c:formatCode>0.0</c:formatCode>
                <c:ptCount val="21"/>
                <c:pt idx="0">
                  <c:v>2.893963373276057</c:v>
                </c:pt>
                <c:pt idx="1">
                  <c:v>2.6558465510881595</c:v>
                </c:pt>
                <c:pt idx="2">
                  <c:v>1.4513108614232211</c:v>
                </c:pt>
                <c:pt idx="3">
                  <c:v>1.3579387186629526</c:v>
                </c:pt>
                <c:pt idx="4">
                  <c:v>1.1639185257032008</c:v>
                </c:pt>
                <c:pt idx="5">
                  <c:v>1.021505376344086</c:v>
                </c:pt>
                <c:pt idx="6">
                  <c:v>0.97781120722075965</c:v>
                </c:pt>
                <c:pt idx="7">
                  <c:v>0.84070796460176989</c:v>
                </c:pt>
                <c:pt idx="8">
                  <c:v>0.75250836120401343</c:v>
                </c:pt>
                <c:pt idx="9">
                  <c:v>0.71848465055519262</c:v>
                </c:pt>
                <c:pt idx="10">
                  <c:v>0.58976173625855155</c:v>
                </c:pt>
                <c:pt idx="11">
                  <c:v>0.58309037900874638</c:v>
                </c:pt>
                <c:pt idx="12">
                  <c:v>0.46948356807511737</c:v>
                </c:pt>
                <c:pt idx="13">
                  <c:v>0.46528274874731562</c:v>
                </c:pt>
                <c:pt idx="14">
                  <c:v>0.44289781714647264</c:v>
                </c:pt>
                <c:pt idx="15">
                  <c:v>0.38354996803750269</c:v>
                </c:pt>
                <c:pt idx="16">
                  <c:v>0.35599857600569601</c:v>
                </c:pt>
                <c:pt idx="17">
                  <c:v>0.31525851197982346</c:v>
                </c:pt>
                <c:pt idx="18">
                  <c:v>0.26507620941020543</c:v>
                </c:pt>
                <c:pt idx="19">
                  <c:v>0.11747430249632893</c:v>
                </c:pt>
                <c:pt idx="20">
                  <c:v>6.6489361702127658E-2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C6-4DD1-8401-88C85706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6"/>
        <c:axId val="203172864"/>
        <c:axId val="203483008"/>
      </c:barChart>
      <c:catAx>
        <c:axId val="203172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3483008"/>
        <c:crosses val="autoZero"/>
        <c:auto val="1"/>
        <c:lblAlgn val="ctr"/>
        <c:lblOffset val="100"/>
        <c:noMultiLvlLbl val="0"/>
      </c:catAx>
      <c:valAx>
        <c:axId val="20348300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20317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1">
                <a:latin typeface="Arial" panose="020B0604020202020204" pitchFamily="34" charset="0"/>
                <a:cs typeface="Arial" panose="020B0604020202020204" pitchFamily="34" charset="0"/>
              </a:rPr>
              <a:t>okres I p. w danym roku</a:t>
            </a:r>
          </a:p>
        </c:rich>
      </c:tx>
      <c:layout>
        <c:manualLayout>
          <c:xMode val="edge"/>
          <c:yMode val="edge"/>
          <c:x val="0.33968594752743753"/>
          <c:y val="9.21779542279437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T.XXVII!$K$10</c:f>
              <c:strCache>
                <c:ptCount val="1"/>
                <c:pt idx="0">
                  <c:v>zgłoszenia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T.XXVII!$J$11:$J$28</c:f>
              <c:strCache>
                <c:ptCount val="18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  <c:pt idx="15">
                  <c:v>IP '22</c:v>
                </c:pt>
                <c:pt idx="16">
                  <c:v>IP '23</c:v>
                </c:pt>
                <c:pt idx="17">
                  <c:v>Ip '24</c:v>
                </c:pt>
              </c:strCache>
            </c:strRef>
          </c:cat>
          <c:val>
            <c:numRef>
              <c:f>T.XXVII!$K$11:$K$28</c:f>
              <c:numCache>
                <c:formatCode>#,##0</c:formatCode>
                <c:ptCount val="18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  <c:pt idx="10">
                  <c:v>485</c:v>
                </c:pt>
                <c:pt idx="11">
                  <c:v>323</c:v>
                </c:pt>
                <c:pt idx="12">
                  <c:v>835</c:v>
                </c:pt>
                <c:pt idx="13">
                  <c:v>3035</c:v>
                </c:pt>
                <c:pt idx="14">
                  <c:v>88</c:v>
                </c:pt>
                <c:pt idx="15" formatCode="General">
                  <c:v>599</c:v>
                </c:pt>
                <c:pt idx="16" formatCode="General">
                  <c:v>513</c:v>
                </c:pt>
                <c:pt idx="17" formatCode="General">
                  <c:v>276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A2-4E54-BA79-78FBB62C2DE6}"/>
            </c:ext>
          </c:extLst>
        </c:ser>
        <c:ser>
          <c:idx val="1"/>
          <c:order val="1"/>
          <c:tx>
            <c:strRef>
              <c:f>T.XXVII!$L$10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strRef>
              <c:f>T.XXVII!$J$11:$J$28</c:f>
              <c:strCache>
                <c:ptCount val="18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  <c:pt idx="15">
                  <c:v>IP '22</c:v>
                </c:pt>
                <c:pt idx="16">
                  <c:v>IP '23</c:v>
                </c:pt>
                <c:pt idx="17">
                  <c:v>Ip '24</c:v>
                </c:pt>
              </c:strCache>
            </c:strRef>
          </c:cat>
          <c:val>
            <c:numRef>
              <c:f>T.XXVII!$L$11:$L$28</c:f>
              <c:numCache>
                <c:formatCode>#,##0</c:formatCode>
                <c:ptCount val="18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  <c:pt idx="10">
                  <c:v>348</c:v>
                </c:pt>
                <c:pt idx="11">
                  <c:v>358</c:v>
                </c:pt>
                <c:pt idx="12">
                  <c:v>333</c:v>
                </c:pt>
                <c:pt idx="13">
                  <c:v>1230</c:v>
                </c:pt>
                <c:pt idx="14">
                  <c:v>238</c:v>
                </c:pt>
                <c:pt idx="15" formatCode="General">
                  <c:v>204</c:v>
                </c:pt>
                <c:pt idx="16" formatCode="General">
                  <c:v>353</c:v>
                </c:pt>
                <c:pt idx="17" formatCode="General">
                  <c:v>230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A2-4E54-BA79-78FBB62C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34656"/>
        <c:axId val="216940544"/>
      </c:lineChart>
      <c:catAx>
        <c:axId val="216934656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6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40544"/>
        <c:crosses val="autoZero"/>
        <c:auto val="1"/>
        <c:lblAlgn val="ctr"/>
        <c:lblOffset val="100"/>
        <c:noMultiLvlLbl val="0"/>
      </c:catAx>
      <c:valAx>
        <c:axId val="216940544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chemeClr val="accent2">
                  <a:lumMod val="60000"/>
                  <a:lumOff val="40000"/>
                  <a:alpha val="32000"/>
                </a:schemeClr>
              </a:solidFill>
            </a:ln>
          </c:spPr>
        </c:majorGridlines>
        <c:minorGridlines>
          <c:spPr>
            <a:ln w="6350">
              <a:solidFill>
                <a:schemeClr val="accent6">
                  <a:lumMod val="5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934656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8026406253413433"/>
          <c:y val="0.2287686315221733"/>
          <c:w val="0.54390956982473326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>
                <a:latin typeface="Arial" panose="020B0604020202020204" pitchFamily="34" charset="0"/>
                <a:cs typeface="Arial" panose="020B0604020202020204" pitchFamily="34" charset="0"/>
              </a:rPr>
              <a:t>wg poszczególnych lat</a:t>
            </a:r>
          </a:p>
        </c:rich>
      </c:tx>
      <c:layout>
        <c:manualLayout>
          <c:xMode val="edge"/>
          <c:yMode val="edge"/>
          <c:x val="0.36125554207894989"/>
          <c:y val="7.65957857440968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9144709558031465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T.XXVII!$Q$10</c:f>
              <c:strCache>
                <c:ptCount val="1"/>
                <c:pt idx="0">
                  <c:v>zgłoszenia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T.XXVII!$P$11:$P$28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T.XXVII!$Q$11:$Q$28</c:f>
              <c:numCache>
                <c:formatCode>#,##0</c:formatCode>
                <c:ptCount val="18"/>
                <c:pt idx="0">
                  <c:v>479</c:v>
                </c:pt>
                <c:pt idx="1">
                  <c:v>4570</c:v>
                </c:pt>
                <c:pt idx="2">
                  <c:v>9176</c:v>
                </c:pt>
                <c:pt idx="3">
                  <c:v>1412</c:v>
                </c:pt>
                <c:pt idx="4">
                  <c:v>2730</c:v>
                </c:pt>
                <c:pt idx="5">
                  <c:v>1273</c:v>
                </c:pt>
                <c:pt idx="6">
                  <c:v>2106</c:v>
                </c:pt>
                <c:pt idx="7">
                  <c:v>1311</c:v>
                </c:pt>
                <c:pt idx="8">
                  <c:v>1204</c:v>
                </c:pt>
                <c:pt idx="9">
                  <c:v>720</c:v>
                </c:pt>
                <c:pt idx="10">
                  <c:v>819</c:v>
                </c:pt>
                <c:pt idx="11">
                  <c:v>587</c:v>
                </c:pt>
                <c:pt idx="12">
                  <c:v>1044</c:v>
                </c:pt>
                <c:pt idx="13">
                  <c:v>4716</c:v>
                </c:pt>
                <c:pt idx="14">
                  <c:v>716</c:v>
                </c:pt>
                <c:pt idx="15">
                  <c:v>599</c:v>
                </c:pt>
                <c:pt idx="16">
                  <c:v>760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C4-4B48-8AD9-E5320572C7B9}"/>
            </c:ext>
          </c:extLst>
        </c:ser>
        <c:ser>
          <c:idx val="1"/>
          <c:order val="1"/>
          <c:tx>
            <c:strRef>
              <c:f>T.XXVII!$R$10</c:f>
              <c:strCache>
                <c:ptCount val="1"/>
                <c:pt idx="0">
                  <c:v>zwolnienia</c:v>
                </c:pt>
              </c:strCache>
            </c:strRef>
          </c:tx>
          <c:marker>
            <c:symbol val="none"/>
          </c:marker>
          <c:cat>
            <c:numRef>
              <c:f>T.XXVII!$P$11:$P$28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T.XXVII!$R$11:$R$28</c:f>
              <c:numCache>
                <c:formatCode>#,##0</c:formatCode>
                <c:ptCount val="18"/>
                <c:pt idx="0">
                  <c:v>437</c:v>
                </c:pt>
                <c:pt idx="1">
                  <c:v>2154</c:v>
                </c:pt>
                <c:pt idx="2">
                  <c:v>6255</c:v>
                </c:pt>
                <c:pt idx="3">
                  <c:v>1120</c:v>
                </c:pt>
                <c:pt idx="4">
                  <c:v>2048</c:v>
                </c:pt>
                <c:pt idx="5">
                  <c:v>1050</c:v>
                </c:pt>
                <c:pt idx="6">
                  <c:v>1235</c:v>
                </c:pt>
                <c:pt idx="7">
                  <c:v>651</c:v>
                </c:pt>
                <c:pt idx="8">
                  <c:v>1108</c:v>
                </c:pt>
                <c:pt idx="9">
                  <c:v>609</c:v>
                </c:pt>
                <c:pt idx="10">
                  <c:v>557</c:v>
                </c:pt>
                <c:pt idx="11">
                  <c:v>530</c:v>
                </c:pt>
                <c:pt idx="12">
                  <c:v>726</c:v>
                </c:pt>
                <c:pt idx="13">
                  <c:v>2746</c:v>
                </c:pt>
                <c:pt idx="14">
                  <c:v>384</c:v>
                </c:pt>
                <c:pt idx="15">
                  <c:v>204</c:v>
                </c:pt>
                <c:pt idx="16">
                  <c:v>566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C4-4B48-8AD9-E5320572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61792"/>
        <c:axId val="216963328"/>
      </c:lineChart>
      <c:catAx>
        <c:axId val="216961792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6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63328"/>
        <c:crosses val="autoZero"/>
        <c:auto val="1"/>
        <c:lblAlgn val="ctr"/>
        <c:lblOffset val="100"/>
        <c:noMultiLvlLbl val="0"/>
      </c:catAx>
      <c:valAx>
        <c:axId val="216963328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2D9FE">
                  <a:alpha val="32157"/>
                </a:srgbClr>
              </a:solidFill>
            </a:ln>
          </c:spPr>
        </c:majorGridlines>
        <c:minorGridlines>
          <c:spPr>
            <a:ln w="6350">
              <a:solidFill>
                <a:schemeClr val="accent6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961792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644745879151375"/>
          <c:y val="0.21305489726514848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l-PL" sz="900" b="0" i="0" baseline="0">
                <a:effectLst/>
              </a:rPr>
              <a:t>Wskaźnik zatrudnienia ogółem,  województwo podkarpackie</a:t>
            </a:r>
            <a:endParaRPr lang="pl-PL" sz="900"/>
          </a:p>
        </c:rich>
      </c:tx>
      <c:layout>
        <c:manualLayout>
          <c:xMode val="edge"/>
          <c:yMode val="edge"/>
          <c:x val="0.19022064886988985"/>
          <c:y val="1.8648018648018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0.10655397096341979"/>
          <c:w val="0.91870205304823693"/>
          <c:h val="0.78830460877704978"/>
        </c:manualLayout>
      </c:layout>
      <c:lineChart>
        <c:grouping val="standard"/>
        <c:varyColors val="0"/>
        <c:ser>
          <c:idx val="1"/>
          <c:order val="0"/>
          <c:tx>
            <c:strRef>
              <c:f>T.XXVIII!$B$21</c:f>
              <c:strCache>
                <c:ptCount val="1"/>
                <c:pt idx="0">
                  <c:v>Polska, ogółem 15-89</c:v>
                </c:pt>
              </c:strCache>
            </c:strRef>
          </c:tx>
          <c:spPr>
            <a:ln w="73025">
              <a:solidFill>
                <a:schemeClr val="accent6">
                  <a:lumMod val="75000"/>
                  <a:alpha val="43000"/>
                </a:schemeClr>
              </a:solidFill>
            </a:ln>
          </c:spPr>
          <c:marker>
            <c:symbol val="none"/>
          </c:marker>
          <c:cat>
            <c:strRef>
              <c:f>T.XXVIII!$C$5:$P$5</c:f>
              <c:strCache>
                <c:ptCount val="1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</c:strCache>
            </c:strRef>
          </c:cat>
          <c:val>
            <c:numRef>
              <c:f>T.XXVIII!$C$21:$P$21</c:f>
              <c:numCache>
                <c:formatCode>General</c:formatCode>
                <c:ptCount val="14"/>
                <c:pt idx="0">
                  <c:v>48.3</c:v>
                </c:pt>
                <c:pt idx="1">
                  <c:v>48.6</c:v>
                </c:pt>
                <c:pt idx="2">
                  <c:v>48.9</c:v>
                </c:pt>
                <c:pt idx="3">
                  <c:v>48.9</c:v>
                </c:pt>
                <c:pt idx="4">
                  <c:v>50.1</c:v>
                </c:pt>
                <c:pt idx="5" formatCode="0.0">
                  <c:v>51.1</c:v>
                </c:pt>
                <c:pt idx="6" formatCode="0.0">
                  <c:v>52.1</c:v>
                </c:pt>
                <c:pt idx="7" formatCode="0.0">
                  <c:v>53.2</c:v>
                </c:pt>
                <c:pt idx="8" formatCode="0.0">
                  <c:v>53.9</c:v>
                </c:pt>
                <c:pt idx="9" formatCode="0.0">
                  <c:v>54.1</c:v>
                </c:pt>
                <c:pt idx="10" formatCode="0.0">
                  <c:v>54</c:v>
                </c:pt>
                <c:pt idx="11" formatCode="0.0">
                  <c:v>55.8</c:v>
                </c:pt>
                <c:pt idx="12" formatCode="0.0">
                  <c:v>56.3</c:v>
                </c:pt>
                <c:pt idx="13" formatCode="0.0">
                  <c:v>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73D-48A6-A8B4-03DC16923845}"/>
            </c:ext>
          </c:extLst>
        </c:ser>
        <c:ser>
          <c:idx val="0"/>
          <c:order val="1"/>
          <c:tx>
            <c:strRef>
              <c:f>T.XXVIII!$B$7</c:f>
              <c:strCache>
                <c:ptCount val="1"/>
                <c:pt idx="0">
                  <c:v>województwo podkarpackie, ogółem 15-89</c:v>
                </c:pt>
              </c:strCache>
            </c:strRef>
          </c:tx>
          <c:spPr>
            <a:ln w="666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T.XXVIII!$C$5:$P$5</c:f>
              <c:strCache>
                <c:ptCount val="1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</c:strCache>
            </c:strRef>
          </c:cat>
          <c:val>
            <c:numRef>
              <c:f>T.XXVIII!$C$7:$P$7</c:f>
              <c:numCache>
                <c:formatCode>General</c:formatCode>
                <c:ptCount val="14"/>
                <c:pt idx="0">
                  <c:v>41.4</c:v>
                </c:pt>
                <c:pt idx="1">
                  <c:v>40.799999999999997</c:v>
                </c:pt>
                <c:pt idx="2">
                  <c:v>41.2</c:v>
                </c:pt>
                <c:pt idx="3">
                  <c:v>41.7</c:v>
                </c:pt>
                <c:pt idx="4">
                  <c:v>41.9</c:v>
                </c:pt>
                <c:pt idx="5" formatCode="0.0">
                  <c:v>43.3</c:v>
                </c:pt>
                <c:pt idx="6" formatCode="0.0">
                  <c:v>46.8</c:v>
                </c:pt>
                <c:pt idx="7" formatCode="0.0">
                  <c:v>48.1</c:v>
                </c:pt>
                <c:pt idx="8" formatCode="0.0">
                  <c:v>47.7</c:v>
                </c:pt>
                <c:pt idx="9" formatCode="0.0">
                  <c:v>48.7</c:v>
                </c:pt>
                <c:pt idx="10" formatCode="0.0">
                  <c:v>49.3</c:v>
                </c:pt>
                <c:pt idx="11" formatCode="0.0">
                  <c:v>50.3</c:v>
                </c:pt>
                <c:pt idx="12" formatCode="0.0">
                  <c:v>50.3</c:v>
                </c:pt>
                <c:pt idx="13" formatCode="0.0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3D-48A6-A8B4-03DC1692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accent2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9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accent2">
                  <a:lumMod val="50000"/>
                  <a:alpha val="71000"/>
                </a:schemeClr>
              </a:solidFill>
              <a:prstDash val="sysDot"/>
            </a:ln>
          </c:spPr>
        </c:minorGridlines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accent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368320"/>
        <c:crosses val="autoZero"/>
        <c:crossBetween val="midCat"/>
        <c:majorUnit val="2.5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5324636777570592"/>
          <c:y val="0.66681460272011461"/>
          <c:w val="0.58873776981061332"/>
          <c:h val="0.15975503062117233"/>
        </c:manualLayout>
      </c:layout>
      <c:overlay val="0"/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900" b="0" dirty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Wskaźnik zatrudnienia wg wykształcenia, województwo podkarpackie</a:t>
            </a:r>
            <a:endParaRPr lang="en-US" sz="900" b="0" dirty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273221114783668"/>
          <c:y val="1.3206008823365164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1">
            <a:lumMod val="40000"/>
            <a:lumOff val="60000"/>
            <a:alpha val="7000"/>
          </a:schemeClr>
        </a:solidFill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2.8846037681270392E-2"/>
          <c:y val="8.1217773310251096E-2"/>
          <c:w val="0.89116377609661535"/>
          <c:h val="0.7474174361298362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T.XXVIII!$P$5</c:f>
              <c:strCache>
                <c:ptCount val="1"/>
                <c:pt idx="0">
                  <c:v>23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1887916336244871E-2"/>
                  <c:y val="6.7622246792591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CB-47F1-AED1-D8B6787E6E8F}"/>
                </c:ext>
              </c:extLst>
            </c:dLbl>
            <c:dLbl>
              <c:idx val="1"/>
              <c:layout>
                <c:manualLayout>
                  <c:x val="-7.143790621572714E-3"/>
                  <c:y val="5.9016250628245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CB-47F1-AED1-D8B6787E6E8F}"/>
                </c:ext>
              </c:extLst>
            </c:dLbl>
            <c:dLbl>
              <c:idx val="2"/>
              <c:layout>
                <c:manualLayout>
                  <c:x val="-2.9614347058688124E-3"/>
                  <c:y val="7.0650695258837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CB-47F1-AED1-D8B6787E6E8F}"/>
                </c:ext>
              </c:extLst>
            </c:dLbl>
            <c:dLbl>
              <c:idx val="3"/>
              <c:layout>
                <c:manualLayout>
                  <c:x val="-6.8722066577607056E-4"/>
                  <c:y val="6.3670296532082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CB-47F1-AED1-D8B6787E6E8F}"/>
                </c:ext>
              </c:extLst>
            </c:dLbl>
            <c:dLbl>
              <c:idx val="4"/>
              <c:layout>
                <c:manualLayout>
                  <c:x val="-1.8957043324974809E-3"/>
                  <c:y val="5.864969006533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CB-47F1-AED1-D8B6787E6E8F}"/>
                </c:ext>
              </c:extLst>
            </c:dLbl>
            <c:dLbl>
              <c:idx val="5"/>
              <c:layout>
                <c:manualLayout>
                  <c:x val="3.792888572848025E-3"/>
                  <c:y val="-2.77099272450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CB-47F1-AED1-D8B6787E6E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T.XXVIII!$T$33:$T$37</c:f>
              <c:strCache>
                <c:ptCount val="5"/>
                <c:pt idx="0">
                  <c:v>wyższe</c:v>
                </c:pt>
                <c:pt idx="1">
                  <c:v>polic. i śr. zaw.</c:v>
                </c:pt>
                <c:pt idx="2">
                  <c:v>śr. ogólnokszt.</c:v>
                </c:pt>
                <c:pt idx="3">
                  <c:v>zas. zaw.</c:v>
                </c:pt>
                <c:pt idx="4">
                  <c:v>gimn., podst. i niep. podst.</c:v>
                </c:pt>
              </c:strCache>
            </c:strRef>
          </c:cat>
          <c:val>
            <c:numRef>
              <c:f>T.XXVIII!$P$13:$P$17</c:f>
              <c:numCache>
                <c:formatCode>0.0</c:formatCode>
                <c:ptCount val="5"/>
                <c:pt idx="0">
                  <c:v>78.2</c:v>
                </c:pt>
                <c:pt idx="1">
                  <c:v>57.1</c:v>
                </c:pt>
                <c:pt idx="2">
                  <c:v>45.3</c:v>
                </c:pt>
                <c:pt idx="3">
                  <c:v>43.8</c:v>
                </c:pt>
                <c:pt idx="4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5CB-47F1-AED1-D8B6787E6E8F}"/>
            </c:ext>
          </c:extLst>
        </c:ser>
        <c:ser>
          <c:idx val="0"/>
          <c:order val="1"/>
          <c:tx>
            <c:strRef>
              <c:f>T.XXVIII!$C$5</c:f>
              <c:strCache>
                <c:ptCount val="1"/>
                <c:pt idx="0">
                  <c:v>10</c:v>
                </c:pt>
              </c:strCache>
            </c:strRef>
          </c:tx>
          <c:spPr>
            <a:pattFill prst="dkHorz">
              <a:fgClr>
                <a:srgbClr val="CCDAEC"/>
              </a:fgClr>
              <a:bgClr>
                <a:srgbClr val="FFFFFF"/>
              </a:bgClr>
            </a:pattFill>
            <a:ln w="3175">
              <a:solidFill>
                <a:schemeClr val="bg1">
                  <a:lumMod val="65000"/>
                </a:schemeClr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CB-47F1-AED1-D8B6787E6E8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CB-47F1-AED1-D8B6787E6E8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CB-47F1-AED1-D8B6787E6E8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CB-47F1-AED1-D8B6787E6E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CB-47F1-AED1-D8B6787E6E8F}"/>
              </c:ext>
            </c:extLst>
          </c:dPt>
          <c:dLbls>
            <c:dLbl>
              <c:idx val="0"/>
              <c:layout>
                <c:manualLayout>
                  <c:x val="-1.0957475483189268E-2"/>
                  <c:y val="7.5627408276093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CB-47F1-AED1-D8B6787E6E8F}"/>
                </c:ext>
              </c:extLst>
            </c:dLbl>
            <c:dLbl>
              <c:idx val="1"/>
              <c:layout>
                <c:manualLayout>
                  <c:x val="-1.0775367575807753E-2"/>
                  <c:y val="7.5506785056123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CB-47F1-AED1-D8B6787E6E8F}"/>
                </c:ext>
              </c:extLst>
            </c:dLbl>
            <c:dLbl>
              <c:idx val="2"/>
              <c:layout>
                <c:manualLayout>
                  <c:x val="-3.8558240002257321E-3"/>
                  <c:y val="6.208812196347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CB-47F1-AED1-D8B6787E6E8F}"/>
                </c:ext>
              </c:extLst>
            </c:dLbl>
            <c:dLbl>
              <c:idx val="3"/>
              <c:layout>
                <c:manualLayout>
                  <c:x val="-4.2024044926633345E-3"/>
                  <c:y val="7.4022449321494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CB-47F1-AED1-D8B6787E6E8F}"/>
                </c:ext>
              </c:extLst>
            </c:dLbl>
            <c:dLbl>
              <c:idx val="4"/>
              <c:layout>
                <c:manualLayout>
                  <c:x val="-5.3978937113554181E-3"/>
                  <c:y val="6.4121628413469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CB-47F1-AED1-D8B6787E6E8F}"/>
                </c:ext>
              </c:extLst>
            </c:dLbl>
            <c:dLbl>
              <c:idx val="5"/>
              <c:layout>
                <c:manualLayout>
                  <c:x val="-2.3857269123214075E-2"/>
                  <c:y val="-2.3311249030425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CB-47F1-AED1-D8B6787E6E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T.XXVIII!$T$33:$T$37</c:f>
              <c:strCache>
                <c:ptCount val="5"/>
                <c:pt idx="0">
                  <c:v>wyższe</c:v>
                </c:pt>
                <c:pt idx="1">
                  <c:v>polic. i śr. zaw.</c:v>
                </c:pt>
                <c:pt idx="2">
                  <c:v>śr. ogólnokszt.</c:v>
                </c:pt>
                <c:pt idx="3">
                  <c:v>zas. zaw.</c:v>
                </c:pt>
                <c:pt idx="4">
                  <c:v>gimn., podst. i niep. podst.</c:v>
                </c:pt>
              </c:strCache>
            </c:strRef>
          </c:cat>
          <c:val>
            <c:numRef>
              <c:f>T.XXVIII!$C$13:$C$17</c:f>
              <c:numCache>
                <c:formatCode>0.0</c:formatCode>
                <c:ptCount val="5"/>
                <c:pt idx="0">
                  <c:v>76.099999999999994</c:v>
                </c:pt>
                <c:pt idx="1">
                  <c:v>54</c:v>
                </c:pt>
                <c:pt idx="2">
                  <c:v>32.299999999999997</c:v>
                </c:pt>
                <c:pt idx="3">
                  <c:v>45.1</c:v>
                </c:pt>
                <c:pt idx="4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5CB-47F1-AED1-D8B6787E6E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4"/>
        <c:shape val="box"/>
        <c:axId val="227445376"/>
        <c:axId val="227459840"/>
        <c:axId val="0"/>
      </c:bar3DChart>
      <c:catAx>
        <c:axId val="2274453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pl-PL" sz="8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poziom wykształcenia</a:t>
                </a:r>
              </a:p>
            </c:rich>
          </c:tx>
          <c:layout>
            <c:manualLayout>
              <c:xMode val="edge"/>
              <c:yMode val="edge"/>
              <c:x val="0.30587288420389913"/>
              <c:y val="0.8510912215109801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459840"/>
        <c:crosses val="autoZero"/>
        <c:auto val="1"/>
        <c:lblAlgn val="ctr"/>
        <c:lblOffset val="100"/>
        <c:noMultiLvlLbl val="0"/>
      </c:catAx>
      <c:valAx>
        <c:axId val="227459840"/>
        <c:scaling>
          <c:orientation val="minMax"/>
        </c:scaling>
        <c:delete val="0"/>
        <c:axPos val="r"/>
        <c:majorGridlines>
          <c:spPr>
            <a:ln w="2540">
              <a:solidFill>
                <a:schemeClr val="accent6">
                  <a:lumMod val="40000"/>
                  <a:lumOff val="60000"/>
                </a:schemeClr>
              </a:solidFill>
            </a:ln>
          </c:spPr>
        </c:majorGridlines>
        <c:min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pl-PL" sz="8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 proc.</a:t>
                </a:r>
              </a:p>
            </c:rich>
          </c:tx>
          <c:layout>
            <c:manualLayout>
              <c:xMode val="edge"/>
              <c:yMode val="edge"/>
              <c:x val="0.80560718402906284"/>
              <c:y val="6.4180115783399411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rgbClr val="E8ECFE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44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72914406768849"/>
          <c:y val="0.11817166471212374"/>
          <c:w val="7.1732070768301445E-2"/>
          <c:h val="0.12584948158075984"/>
        </c:manualLayout>
      </c:layout>
      <c:overlay val="0"/>
      <c:txPr>
        <a:bodyPr/>
        <a:lstStyle/>
        <a:p>
          <a:pPr>
            <a:defRPr sz="105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osoby bezrobotne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posiadające obywatelstwo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ukraińskie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 bezrobotnych ogółem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wg powiatów, w proc.</a:t>
            </a:r>
            <a:endParaRPr lang="en-US" sz="1100" b="0" dirty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5885319618964421"/>
          <c:y val="0.1441203571870852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485700927562745"/>
          <c:y val="3.3462885832647095E-2"/>
          <c:w val="0.68372612448717252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T.III!$Q$5</c:f>
              <c:strCache>
                <c:ptCount val="1"/>
                <c:pt idx="0">
                  <c:v>najniższy proc.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66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A1-4E1F-BC82-C7CDF39359D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9A1-4E1F-BC82-C7CDF39359D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9A1-4E1F-BC82-C7CDF39359D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9A1-4E1F-BC82-C7CDF39359D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9A1-4E1F-BC82-C7CDF39359D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9A1-4E1F-BC82-C7CDF39359D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9A1-4E1F-BC82-C7CDF39359D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9A1-4E1F-BC82-C7CDF39359D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9A1-4E1F-BC82-C7CDF39359D0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A1-4E1F-BC82-C7CDF3935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Georgia" panose="02040502050405020303" pitchFamily="18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T.III!$Q$6:$Q$26</c:f>
              <c:strCache>
                <c:ptCount val="21"/>
                <c:pt idx="0">
                  <c:v>strzyżowski</c:v>
                </c:pt>
                <c:pt idx="1">
                  <c:v>brzozowski</c:v>
                </c:pt>
                <c:pt idx="2">
                  <c:v>kolbuszowski</c:v>
                </c:pt>
                <c:pt idx="3">
                  <c:v>lubaczowski</c:v>
                </c:pt>
                <c:pt idx="4">
                  <c:v>leżajski</c:v>
                </c:pt>
                <c:pt idx="5">
                  <c:v>jasielski</c:v>
                </c:pt>
                <c:pt idx="6">
                  <c:v>przeworski</c:v>
                </c:pt>
                <c:pt idx="7">
                  <c:v>niżański</c:v>
                </c:pt>
                <c:pt idx="8">
                  <c:v>ropczycko-sędziszowski</c:v>
                </c:pt>
                <c:pt idx="9">
                  <c:v>łańcucki</c:v>
                </c:pt>
                <c:pt idx="10">
                  <c:v>jarosławski</c:v>
                </c:pt>
                <c:pt idx="11">
                  <c:v>leski</c:v>
                </c:pt>
                <c:pt idx="12">
                  <c:v>tarnobrzeski + mnpp</c:v>
                </c:pt>
                <c:pt idx="13">
                  <c:v>dębicki</c:v>
                </c:pt>
                <c:pt idx="14">
                  <c:v>sanocki</c:v>
                </c:pt>
                <c:pt idx="15">
                  <c:v>stalowowolski</c:v>
                </c:pt>
                <c:pt idx="16">
                  <c:v>bieszczadzki</c:v>
                </c:pt>
                <c:pt idx="17">
                  <c:v>mielecki</c:v>
                </c:pt>
                <c:pt idx="18">
                  <c:v>krośnieński + mnpp</c:v>
                </c:pt>
                <c:pt idx="19">
                  <c:v>przemyski + mnpp</c:v>
                </c:pt>
                <c:pt idx="20">
                  <c:v>rzeszowski + mnpp</c:v>
                </c:pt>
              </c:strCache>
            </c:strRef>
          </c:cat>
          <c:val>
            <c:numRef>
              <c:f>T.III!$R$6:$R$26</c:f>
              <c:numCache>
                <c:formatCode>0.0</c:formatCode>
                <c:ptCount val="21"/>
                <c:pt idx="0">
                  <c:v>6.6489361702127658E-2</c:v>
                </c:pt>
                <c:pt idx="1">
                  <c:v>0.11747430249632893</c:v>
                </c:pt>
                <c:pt idx="2">
                  <c:v>0.26507620941020543</c:v>
                </c:pt>
                <c:pt idx="3">
                  <c:v>0.31525851197982346</c:v>
                </c:pt>
                <c:pt idx="4">
                  <c:v>0.35599857600569601</c:v>
                </c:pt>
                <c:pt idx="5">
                  <c:v>0.38354996803750269</c:v>
                </c:pt>
                <c:pt idx="6">
                  <c:v>0.44289781714647264</c:v>
                </c:pt>
                <c:pt idx="7">
                  <c:v>0.46528274874731562</c:v>
                </c:pt>
                <c:pt idx="8">
                  <c:v>0.46948356807511737</c:v>
                </c:pt>
                <c:pt idx="9">
                  <c:v>0.58309037900874638</c:v>
                </c:pt>
                <c:pt idx="10">
                  <c:v>0.58976173625855155</c:v>
                </c:pt>
                <c:pt idx="11">
                  <c:v>0.71848465055519262</c:v>
                </c:pt>
                <c:pt idx="12">
                  <c:v>0.75250836120401343</c:v>
                </c:pt>
                <c:pt idx="13">
                  <c:v>0.84070796460176989</c:v>
                </c:pt>
                <c:pt idx="14">
                  <c:v>0.97781120722075965</c:v>
                </c:pt>
                <c:pt idx="15">
                  <c:v>1.021505376344086</c:v>
                </c:pt>
                <c:pt idx="16">
                  <c:v>1.1639185257032008</c:v>
                </c:pt>
                <c:pt idx="17">
                  <c:v>1.3579387186629526</c:v>
                </c:pt>
                <c:pt idx="18">
                  <c:v>1.4513108614232211</c:v>
                </c:pt>
                <c:pt idx="19">
                  <c:v>2.6558465510881595</c:v>
                </c:pt>
                <c:pt idx="20">
                  <c:v>2.893963373276057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A1-4E1F-BC82-C7CDF3935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6"/>
        <c:axId val="165206272"/>
        <c:axId val="165212160"/>
      </c:barChart>
      <c:catAx>
        <c:axId val="16520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65212160"/>
        <c:crosses val="autoZero"/>
        <c:auto val="1"/>
        <c:lblAlgn val="ctr"/>
        <c:lblOffset val="100"/>
        <c:noMultiLvlLbl val="0"/>
      </c:catAx>
      <c:valAx>
        <c:axId val="165212160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165206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7231553627598"/>
          <c:y val="3.8885303271517291E-2"/>
          <c:w val="0.8774276844637238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T.IX!$K$9</c:f>
              <c:strCache>
                <c:ptCount val="1"/>
              </c:strCache>
            </c:strRef>
          </c:tx>
          <c:spPr>
            <a:gradFill>
              <a:gsLst>
                <a:gs pos="62000">
                  <a:schemeClr val="accent6">
                    <a:lumMod val="60000"/>
                    <a:lumOff val="40000"/>
                  </a:schemeClr>
                </a:gs>
                <a:gs pos="0">
                  <a:srgbClr val="EFD2D1"/>
                </a:gs>
                <a:gs pos="100000">
                  <a:srgbClr val="F0D5D4"/>
                </a:gs>
              </a:gsLst>
              <a:lin ang="0" scaled="1"/>
            </a:gra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FE-401D-8A33-D6D492276FA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FE-401D-8A33-D6D492276FA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FE-401D-8A33-D6D492276FA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FE-401D-8A33-D6D492276FA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8FE-401D-8A33-D6D492276FA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8FE-401D-8A33-D6D492276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T.IX!$K$10:$K$34</c:f>
              <c:strCache>
                <c:ptCount val="25"/>
                <c:pt idx="0">
                  <c:v>Przemyśl</c:v>
                </c:pt>
                <c:pt idx="1">
                  <c:v>dębicki</c:v>
                </c:pt>
                <c:pt idx="2">
                  <c:v>przemyski</c:v>
                </c:pt>
                <c:pt idx="3">
                  <c:v>niżański</c:v>
                </c:pt>
                <c:pt idx="4">
                  <c:v>stalowowolski</c:v>
                </c:pt>
                <c:pt idx="5">
                  <c:v>strzyżowski</c:v>
                </c:pt>
                <c:pt idx="6">
                  <c:v>brzozowski</c:v>
                </c:pt>
                <c:pt idx="7">
                  <c:v>łańcucki</c:v>
                </c:pt>
                <c:pt idx="8">
                  <c:v>Rzeszów</c:v>
                </c:pt>
                <c:pt idx="9">
                  <c:v>leski</c:v>
                </c:pt>
                <c:pt idx="10">
                  <c:v>przeworski</c:v>
                </c:pt>
                <c:pt idx="11">
                  <c:v>jasielski</c:v>
                </c:pt>
                <c:pt idx="12">
                  <c:v>leżajski</c:v>
                </c:pt>
                <c:pt idx="13">
                  <c:v>Krosno</c:v>
                </c:pt>
                <c:pt idx="14">
                  <c:v>mielecki</c:v>
                </c:pt>
                <c:pt idx="15">
                  <c:v>Tarnobrzeg</c:v>
                </c:pt>
                <c:pt idx="16">
                  <c:v>bieszczadzki</c:v>
                </c:pt>
                <c:pt idx="17">
                  <c:v>sanocki</c:v>
                </c:pt>
                <c:pt idx="18">
                  <c:v>krośnieński</c:v>
                </c:pt>
                <c:pt idx="19">
                  <c:v>jarosławski</c:v>
                </c:pt>
                <c:pt idx="20">
                  <c:v>ropczycko-sędziszowski</c:v>
                </c:pt>
                <c:pt idx="21">
                  <c:v>tarnobrzeski</c:v>
                </c:pt>
                <c:pt idx="22">
                  <c:v>rzeszowski</c:v>
                </c:pt>
                <c:pt idx="23">
                  <c:v>lubaczowski</c:v>
                </c:pt>
                <c:pt idx="24">
                  <c:v>kolbuszowski</c:v>
                </c:pt>
              </c:strCache>
            </c:strRef>
          </c:cat>
          <c:val>
            <c:numRef>
              <c:f>T.IX!$L$10:$L$34</c:f>
              <c:numCache>
                <c:formatCode>0.0</c:formatCode>
                <c:ptCount val="25"/>
                <c:pt idx="0">
                  <c:v>-13.028169014084508</c:v>
                </c:pt>
                <c:pt idx="1">
                  <c:v>-9.6852300242130749</c:v>
                </c:pt>
                <c:pt idx="2">
                  <c:v>-8.0188679245283012</c:v>
                </c:pt>
                <c:pt idx="3">
                  <c:v>-6.2043795620437958</c:v>
                </c:pt>
                <c:pt idx="4">
                  <c:v>-5.7251908396946565</c:v>
                </c:pt>
                <c:pt idx="5">
                  <c:v>-5.2631578947368425</c:v>
                </c:pt>
                <c:pt idx="6">
                  <c:v>-3.3149171270718232</c:v>
                </c:pt>
                <c:pt idx="7">
                  <c:v>-3.1936127744510978</c:v>
                </c:pt>
                <c:pt idx="8">
                  <c:v>-2.8142589118198873</c:v>
                </c:pt>
                <c:pt idx="9">
                  <c:v>-1</c:v>
                </c:pt>
                <c:pt idx="10">
                  <c:v>-0.80808080808080807</c:v>
                </c:pt>
                <c:pt idx="11">
                  <c:v>-0.74850299401197606</c:v>
                </c:pt>
                <c:pt idx="12">
                  <c:v>0.91954022988505746</c:v>
                </c:pt>
                <c:pt idx="13">
                  <c:v>1.680672268907563</c:v>
                </c:pt>
                <c:pt idx="14">
                  <c:v>3.3734939759036147</c:v>
                </c:pt>
                <c:pt idx="15">
                  <c:v>9.375</c:v>
                </c:pt>
                <c:pt idx="16">
                  <c:v>10.434782608695652</c:v>
                </c:pt>
                <c:pt idx="17">
                  <c:v>12.612612612612613</c:v>
                </c:pt>
                <c:pt idx="18">
                  <c:v>12.944983818770227</c:v>
                </c:pt>
                <c:pt idx="19">
                  <c:v>13.299663299663299</c:v>
                </c:pt>
                <c:pt idx="20">
                  <c:v>18.388429752066116</c:v>
                </c:pt>
                <c:pt idx="21">
                  <c:v>18.46153846153846</c:v>
                </c:pt>
                <c:pt idx="22">
                  <c:v>23.376623376623378</c:v>
                </c:pt>
                <c:pt idx="23">
                  <c:v>36.619718309859152</c:v>
                </c:pt>
                <c:pt idx="24">
                  <c:v>53.18181818181818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FE-401D-8A33-D6D492276F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08843520"/>
        <c:axId val="208845056"/>
      </c:barChart>
      <c:catAx>
        <c:axId val="208843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845056"/>
        <c:crosses val="autoZero"/>
        <c:auto val="1"/>
        <c:lblAlgn val="ctr"/>
        <c:lblOffset val="100"/>
        <c:noMultiLvlLbl val="0"/>
      </c:catAx>
      <c:valAx>
        <c:axId val="20884505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2088435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/>
              <a:t>30 VI </a:t>
            </a:r>
            <a:r>
              <a:rPr lang="pl-PL"/>
              <a:t>20</a:t>
            </a:r>
            <a:r>
              <a:rPr lang="en-US"/>
              <a:t>24 r.</a:t>
            </a:r>
          </a:p>
        </c:rich>
      </c:tx>
      <c:layout>
        <c:manualLayout>
          <c:xMode val="edge"/>
          <c:yMode val="edge"/>
          <c:x val="7.7198843815409132E-2"/>
          <c:y val="2.6936015020594405E-2"/>
        </c:manualLayout>
      </c:layout>
      <c:overlay val="1"/>
    </c:title>
    <c:autoTitleDeleted val="0"/>
    <c:view3D>
      <c:rotX val="50"/>
      <c:rotY val="70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15387116012931E-2"/>
          <c:y val="5.554702667511089E-2"/>
          <c:w val="0.95264114241558251"/>
          <c:h val="0.94371177798993122"/>
        </c:manualLayout>
      </c:layout>
      <c:pie3DChart>
        <c:varyColors val="1"/>
        <c:ser>
          <c:idx val="0"/>
          <c:order val="0"/>
          <c:tx>
            <c:strRef>
              <c:f>T.XVI!$U$17</c:f>
              <c:strCache>
                <c:ptCount val="1"/>
                <c:pt idx="0">
                  <c:v>30 VI 24 r.</c:v>
                </c:pt>
              </c:strCache>
            </c:strRef>
          </c:tx>
          <c:spPr>
            <a:ln w="3175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h="25400"/>
            </a:sp3d>
          </c:spPr>
          <c:explosion val="2"/>
          <c:dPt>
            <c:idx val="0"/>
            <c:bubble3D val="0"/>
            <c:spPr>
              <a:gradFill>
                <a:gsLst>
                  <a:gs pos="0">
                    <a:srgbClr val="00FF00"/>
                  </a:gs>
                  <a:gs pos="96250">
                    <a:srgbClr val="00FF00"/>
                  </a:gs>
                  <a:gs pos="50000">
                    <a:srgbClr val="00FF00"/>
                  </a:gs>
                  <a:gs pos="100000">
                    <a:srgbClr val="92D050">
                      <a:lumMod val="74000"/>
                      <a:lumOff val="26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1-E07E-4A66-9442-18B1E50BEB7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3-E07E-4A66-9442-18B1E50BEB7E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2">
                      <a:lumMod val="60000"/>
                      <a:lumOff val="40000"/>
                    </a:schemeClr>
                  </a:gs>
                  <a:gs pos="5000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5-E07E-4A66-9442-18B1E50BEB7E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F9999">
                      <a:lumMod val="89000"/>
                    </a:srgbClr>
                  </a:gs>
                  <a:gs pos="50000">
                    <a:srgbClr val="FF9999">
                      <a:lumMod val="96000"/>
                      <a:lumOff val="4000"/>
                    </a:srgbClr>
                  </a:gs>
                  <a:gs pos="100000">
                    <a:srgbClr val="FF99CC">
                      <a:lumMod val="99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7-E07E-4A66-9442-18B1E50BEB7E}"/>
              </c:ext>
            </c:extLst>
          </c:dPt>
          <c:dLbls>
            <c:dLbl>
              <c:idx val="0"/>
              <c:layout>
                <c:manualLayout>
                  <c:x val="-0.12134931719659403"/>
                  <c:y val="-0.1730870148578971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do 30 r.ż.</a:t>
                    </a:r>
                  </a:p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tj. 25,2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07E-4A66-9442-18B1E50BEB7E}"/>
                </c:ext>
              </c:extLst>
            </c:dLbl>
            <c:dLbl>
              <c:idx val="1"/>
              <c:layout>
                <c:manualLayout>
                  <c:x val="0.18689363213866253"/>
                  <c:y val="-0.1136884973041806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bezrobotni w wieku 31-50 lat tj. 50,1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07E-4A66-9442-18B1E50BEB7E}"/>
                </c:ext>
              </c:extLst>
            </c:dLbl>
            <c:dLbl>
              <c:idx val="2"/>
              <c:layout>
                <c:manualLayout>
                  <c:x val="-0.16347864676188942"/>
                  <c:y val="0.1325247086494446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pow. 50 lat tj. 24,6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07E-4A66-9442-18B1E50BEB7E}"/>
                </c:ext>
              </c:extLst>
            </c:dLbl>
            <c:dLbl>
              <c:idx val="3"/>
              <c:layout>
                <c:manualLayout>
                  <c:x val="6.8508509327532052E-2"/>
                  <c:y val="-0.3273099215819979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Usługi</a:t>
                    </a:r>
                  </a:p>
                  <a:p>
                    <a:r>
                      <a:rPr lang="pl-PL" sz="800"/>
                      <a:t>31,8 %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07E-4A66-9442-18B1E50BEB7E}"/>
                </c:ext>
              </c:extLst>
            </c:dLbl>
            <c:dLbl>
              <c:idx val="4"/>
              <c:layout>
                <c:manualLayout>
                  <c:x val="-0.31219512845254532"/>
                  <c:y val="-1.0222284161382482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1000 i więcej</a:t>
                    </a:r>
                  </a:p>
                  <a:p>
                    <a:r>
                      <a:rPr lang="en-US" sz="800"/>
                      <a:t>0,0</a:t>
                    </a:r>
                    <a:r>
                      <a:rPr lang="pl-PL" sz="800"/>
                      <a:t>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07E-4A66-9442-18B1E50BEB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T.XVI!$U$18:$U$20</c:f>
              <c:strCache>
                <c:ptCount val="3"/>
                <c:pt idx="0">
                  <c:v>do 30</c:v>
                </c:pt>
                <c:pt idx="1">
                  <c:v>31-50</c:v>
                </c:pt>
                <c:pt idx="2">
                  <c:v>pow.50</c:v>
                </c:pt>
              </c:strCache>
            </c:strRef>
          </c:cat>
          <c:val>
            <c:numRef>
              <c:f>T.XVI!$W$18:$W$20</c:f>
              <c:numCache>
                <c:formatCode>0.0</c:formatCode>
                <c:ptCount val="3"/>
                <c:pt idx="0">
                  <c:v>25.221738176575677</c:v>
                </c:pt>
                <c:pt idx="1">
                  <c:v>50.142601936879046</c:v>
                </c:pt>
                <c:pt idx="2">
                  <c:v>24.635659886545273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E-4A66-9442-18B1E50BE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/>
              <a:t>30 VI </a:t>
            </a:r>
            <a:r>
              <a:rPr lang="pl-PL"/>
              <a:t>20</a:t>
            </a:r>
            <a:r>
              <a:rPr lang="en-US"/>
              <a:t>2</a:t>
            </a:r>
            <a:r>
              <a:rPr lang="pl-PL"/>
              <a:t>3</a:t>
            </a:r>
            <a:r>
              <a:rPr lang="en-US"/>
              <a:t> r.</a:t>
            </a:r>
          </a:p>
        </c:rich>
      </c:tx>
      <c:layout>
        <c:manualLayout>
          <c:xMode val="edge"/>
          <c:yMode val="edge"/>
          <c:x val="7.7198843815409132E-2"/>
          <c:y val="2.6936015020594405E-2"/>
        </c:manualLayout>
      </c:layout>
      <c:overlay val="1"/>
    </c:title>
    <c:autoTitleDeleted val="0"/>
    <c:view3D>
      <c:rotX val="50"/>
      <c:rotY val="70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15387116012931E-2"/>
          <c:y val="5.554702667511089E-2"/>
          <c:w val="0.95264114241558251"/>
          <c:h val="0.94371177798993122"/>
        </c:manualLayout>
      </c:layout>
      <c:pie3DChart>
        <c:varyColors val="1"/>
        <c:ser>
          <c:idx val="0"/>
          <c:order val="0"/>
          <c:tx>
            <c:strRef>
              <c:f>T.XVI!$U$17</c:f>
              <c:strCache>
                <c:ptCount val="1"/>
                <c:pt idx="0">
                  <c:v>30 VI 24 r.</c:v>
                </c:pt>
              </c:strCache>
            </c:strRef>
          </c:tx>
          <c:spPr>
            <a:ln w="3175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h="25400"/>
            </a:sp3d>
          </c:spPr>
          <c:explosion val="2"/>
          <c:dPt>
            <c:idx val="0"/>
            <c:bubble3D val="0"/>
            <c:spPr>
              <a:gradFill>
                <a:gsLst>
                  <a:gs pos="0">
                    <a:srgbClr val="00FF00"/>
                  </a:gs>
                  <a:gs pos="96250">
                    <a:srgbClr val="00FF00"/>
                  </a:gs>
                  <a:gs pos="50000">
                    <a:srgbClr val="00FF00"/>
                  </a:gs>
                  <a:gs pos="100000">
                    <a:srgbClr val="92D050">
                      <a:lumMod val="74000"/>
                      <a:lumOff val="26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1-23DE-494C-9044-53D5F169044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3-23DE-494C-9044-53D5F169044E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2">
                      <a:lumMod val="60000"/>
                      <a:lumOff val="40000"/>
                    </a:schemeClr>
                  </a:gs>
                  <a:gs pos="50000">
                    <a:schemeClr val="accent2">
                      <a:lumMod val="60000"/>
                      <a:lumOff val="40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5-23DE-494C-9044-53D5F169044E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F9999">
                      <a:lumMod val="89000"/>
                    </a:srgbClr>
                  </a:gs>
                  <a:gs pos="50000">
                    <a:srgbClr val="FF9999">
                      <a:lumMod val="96000"/>
                      <a:lumOff val="4000"/>
                    </a:srgbClr>
                  </a:gs>
                  <a:gs pos="100000">
                    <a:srgbClr val="FF99CC">
                      <a:lumMod val="99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7-23DE-494C-9044-53D5F169044E}"/>
              </c:ext>
            </c:extLst>
          </c:dPt>
          <c:dLbls>
            <c:dLbl>
              <c:idx val="0"/>
              <c:layout>
                <c:manualLayout>
                  <c:x val="-0.12134931719659403"/>
                  <c:y val="-0.1730870148578971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do 30 r.ż.</a:t>
                    </a:r>
                  </a:p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tj. 24,9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3DE-494C-9044-53D5F169044E}"/>
                </c:ext>
              </c:extLst>
            </c:dLbl>
            <c:dLbl>
              <c:idx val="1"/>
              <c:layout>
                <c:manualLayout>
                  <c:x val="0.18689363213866253"/>
                  <c:y val="-0.1136884973041806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bezrobotni w wieku 31-50 lat tj. 50,2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3DE-494C-9044-53D5F169044E}"/>
                </c:ext>
              </c:extLst>
            </c:dLbl>
            <c:dLbl>
              <c:idx val="2"/>
              <c:layout>
                <c:manualLayout>
                  <c:x val="-0.16347864676188942"/>
                  <c:y val="0.1325247086494446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pow. 50 lat tj. 24,9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3DE-494C-9044-53D5F169044E}"/>
                </c:ext>
              </c:extLst>
            </c:dLbl>
            <c:dLbl>
              <c:idx val="3"/>
              <c:layout>
                <c:manualLayout>
                  <c:x val="6.8508509327532052E-2"/>
                  <c:y val="-0.3273099215819979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Usługi</a:t>
                    </a:r>
                  </a:p>
                  <a:p>
                    <a:r>
                      <a:rPr lang="pl-PL" sz="800"/>
                      <a:t>31,8 %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3DE-494C-9044-53D5F169044E}"/>
                </c:ext>
              </c:extLst>
            </c:dLbl>
            <c:dLbl>
              <c:idx val="4"/>
              <c:layout>
                <c:manualLayout>
                  <c:x val="-0.31219512845254532"/>
                  <c:y val="-1.0222284161382482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1000 i więcej</a:t>
                    </a:r>
                  </a:p>
                  <a:p>
                    <a:r>
                      <a:rPr lang="en-US" sz="800"/>
                      <a:t>0,0</a:t>
                    </a:r>
                    <a:r>
                      <a:rPr lang="pl-PL" sz="800"/>
                      <a:t>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3DE-494C-9044-53D5F169044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T.XVI!$U$18:$U$20</c:f>
              <c:strCache>
                <c:ptCount val="3"/>
                <c:pt idx="0">
                  <c:v>do 30</c:v>
                </c:pt>
                <c:pt idx="1">
                  <c:v>31-50</c:v>
                </c:pt>
                <c:pt idx="2">
                  <c:v>pow.50</c:v>
                </c:pt>
              </c:strCache>
            </c:strRef>
          </c:cat>
          <c:val>
            <c:numRef>
              <c:f>T.XVI!$W$18:$W$20</c:f>
              <c:numCache>
                <c:formatCode>0.0</c:formatCode>
                <c:ptCount val="3"/>
                <c:pt idx="0">
                  <c:v>25.221738176575677</c:v>
                </c:pt>
                <c:pt idx="1">
                  <c:v>50.142601936879046</c:v>
                </c:pt>
                <c:pt idx="2">
                  <c:v>24.635659886545273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DE-494C-9044-53D5F1690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oferty ogółem, w półroczach </a:t>
            </a:r>
          </a:p>
        </c:rich>
      </c:tx>
      <c:layout>
        <c:manualLayout>
          <c:xMode val="edge"/>
          <c:yMode val="edge"/>
          <c:x val="8.4798714392203794E-2"/>
          <c:y val="5.61700986964377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T.XXII!$L$10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T.XXII!$K$12:$K$37</c:f>
              <c:strCache>
                <c:ptCount val="26"/>
                <c:pt idx="0">
                  <c:v>Ip.99</c:v>
                </c:pt>
                <c:pt idx="1">
                  <c:v>Ip.00</c:v>
                </c:pt>
                <c:pt idx="2">
                  <c:v>Ip.01</c:v>
                </c:pt>
                <c:pt idx="3">
                  <c:v>Ip.02</c:v>
                </c:pt>
                <c:pt idx="4">
                  <c:v>Ip.03</c:v>
                </c:pt>
                <c:pt idx="5">
                  <c:v>Ip.04</c:v>
                </c:pt>
                <c:pt idx="6">
                  <c:v>Ip.05</c:v>
                </c:pt>
                <c:pt idx="7">
                  <c:v>Ip.06</c:v>
                </c:pt>
                <c:pt idx="8">
                  <c:v>Ip.07</c:v>
                </c:pt>
                <c:pt idx="9">
                  <c:v>Ip.08</c:v>
                </c:pt>
                <c:pt idx="10">
                  <c:v>Ip.09</c:v>
                </c:pt>
                <c:pt idx="11">
                  <c:v>Ip.10</c:v>
                </c:pt>
                <c:pt idx="12">
                  <c:v>Ip.11</c:v>
                </c:pt>
                <c:pt idx="13">
                  <c:v>Ip.12</c:v>
                </c:pt>
                <c:pt idx="14">
                  <c:v>Ip.13</c:v>
                </c:pt>
                <c:pt idx="15">
                  <c:v>Ip.14</c:v>
                </c:pt>
                <c:pt idx="16">
                  <c:v>Ip.15</c:v>
                </c:pt>
                <c:pt idx="17">
                  <c:v>Ip.16</c:v>
                </c:pt>
                <c:pt idx="18">
                  <c:v>Ip.17</c:v>
                </c:pt>
                <c:pt idx="19">
                  <c:v>Ip.18</c:v>
                </c:pt>
                <c:pt idx="20">
                  <c:v>Ip.19</c:v>
                </c:pt>
                <c:pt idx="21">
                  <c:v>Ip.20</c:v>
                </c:pt>
                <c:pt idx="22">
                  <c:v>Ip.21</c:v>
                </c:pt>
                <c:pt idx="23">
                  <c:v>Ip.22</c:v>
                </c:pt>
                <c:pt idx="24">
                  <c:v>Ip.23</c:v>
                </c:pt>
                <c:pt idx="25">
                  <c:v>Ip.24</c:v>
                </c:pt>
              </c:strCache>
            </c:strRef>
          </c:cat>
          <c:val>
            <c:numRef>
              <c:f>T.XXII!$L$12:$L$37</c:f>
              <c:numCache>
                <c:formatCode>0</c:formatCode>
                <c:ptCount val="26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  <c:pt idx="23">
                  <c:v>27664</c:v>
                </c:pt>
                <c:pt idx="24">
                  <c:v>23753</c:v>
                </c:pt>
                <c:pt idx="25">
                  <c:v>21158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10-4878-94D1-CDA4B4D3B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05888"/>
        <c:axId val="216407424"/>
      </c:lineChart>
      <c:catAx>
        <c:axId val="216405888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407424"/>
        <c:crosses val="autoZero"/>
        <c:auto val="1"/>
        <c:lblAlgn val="ctr"/>
        <c:lblOffset val="100"/>
        <c:noMultiLvlLbl val="0"/>
      </c:catAx>
      <c:valAx>
        <c:axId val="216407424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rgbClr val="F6862A">
                  <a:alpha val="32000"/>
                </a:srgbClr>
              </a:solidFill>
            </a:ln>
          </c:spPr>
        </c:majorGridlines>
        <c:minorGridlines>
          <c:spPr>
            <a:ln w="6350">
              <a:solidFill>
                <a:srgbClr val="E4AB94">
                  <a:alpha val="82000"/>
                </a:srgbClr>
              </a:solidFill>
              <a:prstDash val="sysDot"/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405888"/>
        <c:crosses val="autoZero"/>
        <c:crossBetween val="midCat"/>
        <c:majorUnit val="2000"/>
        <c:minorUnit val="500"/>
      </c:valAx>
      <c:spPr>
        <a:noFill/>
      </c:spPr>
    </c:plotArea>
    <c:legend>
      <c:legendPos val="t"/>
      <c:layout>
        <c:manualLayout>
          <c:xMode val="edge"/>
          <c:yMode val="edge"/>
          <c:x val="0.19876132796118942"/>
          <c:y val="0.70837410824182467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0551558753"/>
          <c:y val="5.1400554097404488E-2"/>
          <c:w val="0.87061179402934341"/>
          <c:h val="0.8494546515018955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T.XXII!$H$10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6350" cmpd="sng">
              <a:solidFill>
                <a:schemeClr val="bg1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T.XXII!$G$12:$G$36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T.XXII!$H$12:$H$36</c:f>
              <c:numCache>
                <c:formatCode>0</c:formatCode>
                <c:ptCount val="25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  <c:pt idx="22">
                  <c:v>50760</c:v>
                </c:pt>
                <c:pt idx="23">
                  <c:v>50402</c:v>
                </c:pt>
                <c:pt idx="24">
                  <c:v>43492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1-4964-BDEB-E8152E6C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73"/>
        <c:axId val="216728320"/>
        <c:axId val="216729856"/>
      </c:barChart>
      <c:catAx>
        <c:axId val="216728320"/>
        <c:scaling>
          <c:orientation val="minMax"/>
        </c:scaling>
        <c:delete val="0"/>
        <c:axPos val="l"/>
        <c:majorGridlines>
          <c:spPr>
            <a:ln>
              <a:solidFill>
                <a:srgbClr val="F6862A">
                  <a:alpha val="38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29856"/>
        <c:crosses val="autoZero"/>
        <c:auto val="1"/>
        <c:lblAlgn val="ctr"/>
        <c:lblOffset val="100"/>
        <c:noMultiLvlLbl val="0"/>
      </c:catAx>
      <c:valAx>
        <c:axId val="216729856"/>
        <c:scaling>
          <c:orientation val="minMax"/>
          <c:max val="80000"/>
          <c:min val="0"/>
        </c:scaling>
        <c:delete val="0"/>
        <c:axPos val="b"/>
        <c:minorGridlines>
          <c:spPr>
            <a:ln>
              <a:solidFill>
                <a:schemeClr val="accent2">
                  <a:lumMod val="20000"/>
                  <a:lumOff val="80000"/>
                  <a:alpha val="33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40000"/>
                <a:lumOff val="60000"/>
                <a:alpha val="52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28320"/>
        <c:crosses val="autoZero"/>
        <c:crossBetween val="between"/>
        <c:majorUnit val="10000"/>
        <c:min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T.XXII!$H$10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ln w="63500">
              <a:solidFill>
                <a:srgbClr val="DD9679">
                  <a:alpha val="40000"/>
                </a:srgbClr>
              </a:solidFill>
            </a:ln>
          </c:spPr>
          <c:marker>
            <c:symbol val="circle"/>
            <c:size val="4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numRef>
              <c:f>T.XXII!$G$12:$G$36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T.XXII!$H$12:$H$36</c:f>
              <c:numCache>
                <c:formatCode>0</c:formatCode>
                <c:ptCount val="25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  <c:pt idx="22">
                  <c:v>50760</c:v>
                </c:pt>
                <c:pt idx="23">
                  <c:v>50402</c:v>
                </c:pt>
                <c:pt idx="24">
                  <c:v>43492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08-4A6D-B741-27412AD17181}"/>
            </c:ext>
          </c:extLst>
        </c:ser>
        <c:ser>
          <c:idx val="1"/>
          <c:order val="1"/>
          <c:tx>
            <c:strRef>
              <c:f>T.XXII!$I$10</c:f>
              <c:strCache>
                <c:ptCount val="1"/>
                <c:pt idx="0">
                  <c:v>w tym subs. w roku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T.XXII!$G$12:$G$36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</c:numCache>
            </c:numRef>
          </c:cat>
          <c:val>
            <c:numRef>
              <c:f>T.XXII!$I$12:$I$36</c:f>
              <c:numCache>
                <c:formatCode>0</c:formatCode>
                <c:ptCount val="25"/>
                <c:pt idx="0">
                  <c:v>14842</c:v>
                </c:pt>
                <c:pt idx="1">
                  <c:v>14996</c:v>
                </c:pt>
                <c:pt idx="2">
                  <c:v>8521</c:v>
                </c:pt>
                <c:pt idx="3">
                  <c:v>12944</c:v>
                </c:pt>
                <c:pt idx="4">
                  <c:v>22556</c:v>
                </c:pt>
                <c:pt idx="5">
                  <c:v>20038</c:v>
                </c:pt>
                <c:pt idx="6">
                  <c:v>18757</c:v>
                </c:pt>
                <c:pt idx="7">
                  <c:v>20054</c:v>
                </c:pt>
                <c:pt idx="8">
                  <c:v>24494</c:v>
                </c:pt>
                <c:pt idx="9">
                  <c:v>28458</c:v>
                </c:pt>
                <c:pt idx="10">
                  <c:v>28957</c:v>
                </c:pt>
                <c:pt idx="11">
                  <c:v>35663</c:v>
                </c:pt>
                <c:pt idx="12">
                  <c:v>16768</c:v>
                </c:pt>
                <c:pt idx="13">
                  <c:v>25146</c:v>
                </c:pt>
                <c:pt idx="14">
                  <c:v>26050</c:v>
                </c:pt>
                <c:pt idx="15">
                  <c:v>27292</c:v>
                </c:pt>
                <c:pt idx="16">
                  <c:v>28848</c:v>
                </c:pt>
                <c:pt idx="17">
                  <c:v>31407</c:v>
                </c:pt>
                <c:pt idx="18">
                  <c:v>30828</c:v>
                </c:pt>
                <c:pt idx="19">
                  <c:v>20784</c:v>
                </c:pt>
                <c:pt idx="20">
                  <c:v>20491</c:v>
                </c:pt>
                <c:pt idx="21">
                  <c:v>14301</c:v>
                </c:pt>
                <c:pt idx="22">
                  <c:v>17820</c:v>
                </c:pt>
                <c:pt idx="23">
                  <c:v>19293</c:v>
                </c:pt>
                <c:pt idx="24">
                  <c:v>15523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F08-4A6D-B741-27412AD1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47008"/>
        <c:axId val="216756992"/>
      </c:lineChart>
      <c:catAx>
        <c:axId val="216747008"/>
        <c:scaling>
          <c:orientation val="minMax"/>
        </c:scaling>
        <c:delete val="0"/>
        <c:axPos val="b"/>
        <c:majorGridlines>
          <c:spPr>
            <a:ln>
              <a:solidFill>
                <a:schemeClr val="accent2">
                  <a:lumMod val="60000"/>
                  <a:lumOff val="40000"/>
                  <a:alpha val="2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56992"/>
        <c:crosses val="autoZero"/>
        <c:auto val="1"/>
        <c:lblAlgn val="ctr"/>
        <c:lblOffset val="100"/>
        <c:noMultiLvlLbl val="0"/>
      </c:catAx>
      <c:valAx>
        <c:axId val="216756992"/>
        <c:scaling>
          <c:orientation val="minMax"/>
        </c:scaling>
        <c:delete val="0"/>
        <c:axPos val="l"/>
        <c:minorGridlines>
          <c:spPr>
            <a:ln>
              <a:solidFill>
                <a:schemeClr val="accent2">
                  <a:lumMod val="60000"/>
                  <a:lumOff val="40000"/>
                  <a:alpha val="59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4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2977276264613E-2"/>
          <c:y val="7.2255157978670381E-2"/>
          <c:w val="0.62425671607441391"/>
          <c:h val="0.10659437549709831"/>
        </c:manualLayout>
      </c:layout>
      <c:overlay val="0"/>
      <c:spPr>
        <a:noFill/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2"/>
          <c:order val="0"/>
          <c:tx>
            <c:strRef>
              <c:f>T.XXII!$L$10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41275" cmpd="sng">
              <a:solidFill>
                <a:schemeClr val="tx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83-4E83-851A-DD20C3526547}"/>
                </c:ext>
              </c:extLst>
            </c:dLbl>
            <c:dLbl>
              <c:idx val="1"/>
              <c:layout>
                <c:manualLayout>
                  <c:x val="-4.013721042740900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83-4E83-851A-DD20C3526547}"/>
                </c:ext>
              </c:extLst>
            </c:dLbl>
            <c:dLbl>
              <c:idx val="2"/>
              <c:layout>
                <c:manualLayout>
                  <c:x val="-4.0137210427409024E-2"/>
                  <c:y val="2.407131680422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83-4E83-851A-DD20C3526547}"/>
                </c:ext>
              </c:extLst>
            </c:dLbl>
            <c:dLbl>
              <c:idx val="3"/>
              <c:layout>
                <c:manualLayout>
                  <c:x val="-4.0137210427409024E-2"/>
                  <c:y val="2.8528968064263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83-4E83-851A-DD20C3526547}"/>
                </c:ext>
              </c:extLst>
            </c:dLbl>
            <c:dLbl>
              <c:idx val="4"/>
              <c:layout>
                <c:manualLayout>
                  <c:x val="-2.9845618010124659E-2"/>
                  <c:y val="2.8528968064263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83-4E83-851A-DD20C3526547}"/>
                </c:ext>
              </c:extLst>
            </c:dLbl>
            <c:dLbl>
              <c:idx val="5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83-4E83-851A-DD20C3526547}"/>
                </c:ext>
              </c:extLst>
            </c:dLbl>
            <c:dLbl>
              <c:idx val="6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83-4E83-851A-DD20C3526547}"/>
                </c:ext>
              </c:extLst>
            </c:dLbl>
            <c:dLbl>
              <c:idx val="7"/>
              <c:layout>
                <c:manualLayout>
                  <c:x val="-3.8078891943952226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83-4E83-851A-DD20C3526547}"/>
                </c:ext>
              </c:extLst>
            </c:dLbl>
            <c:dLbl>
              <c:idx val="8"/>
              <c:layout>
                <c:manualLayout>
                  <c:x val="-3.8078891943952149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83-4E83-851A-DD20C3526547}"/>
                </c:ext>
              </c:extLst>
            </c:dLbl>
            <c:dLbl>
              <c:idx val="9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83-4E83-851A-DD20C3526547}"/>
                </c:ext>
              </c:extLst>
            </c:dLbl>
            <c:dLbl>
              <c:idx val="1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83-4E83-851A-DD20C3526547}"/>
                </c:ext>
              </c:extLst>
            </c:dLbl>
            <c:dLbl>
              <c:idx val="11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83-4E83-851A-DD20C3526547}"/>
                </c:ext>
              </c:extLst>
            </c:dLbl>
            <c:dLbl>
              <c:idx val="12"/>
              <c:layout>
                <c:manualLayout>
                  <c:x val="-2.7770119860585391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83-4E83-851A-DD20C3526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T.XXII!$G$12:$G$37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T.XXII!$L$12:$L$37</c:f>
              <c:numCache>
                <c:formatCode>0</c:formatCode>
                <c:ptCount val="26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  <c:pt idx="23">
                  <c:v>27664</c:v>
                </c:pt>
                <c:pt idx="24">
                  <c:v>23753</c:v>
                </c:pt>
                <c:pt idx="25">
                  <c:v>21158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883-4E83-851A-DD20C3526547}"/>
            </c:ext>
          </c:extLst>
        </c:ser>
        <c:ser>
          <c:idx val="3"/>
          <c:order val="1"/>
          <c:tx>
            <c:strRef>
              <c:f>T.XXII!$N$10</c:f>
              <c:strCache>
                <c:ptCount val="1"/>
                <c:pt idx="0">
                  <c:v>subsydia w Ip. danego roku</c:v>
                </c:pt>
              </c:strCache>
            </c:strRef>
          </c:tx>
          <c:spPr>
            <a:ln w="63500" cmpd="tri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T.XXII!$G$12:$G$37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T.XXII!$N$12:$N$37</c:f>
              <c:numCache>
                <c:formatCode>0</c:formatCode>
                <c:ptCount val="26"/>
                <c:pt idx="2">
                  <c:v>4362</c:v>
                </c:pt>
                <c:pt idx="3">
                  <c:v>4639</c:v>
                </c:pt>
                <c:pt idx="4">
                  <c:v>11201</c:v>
                </c:pt>
                <c:pt idx="6">
                  <c:v>10813</c:v>
                </c:pt>
                <c:pt idx="7">
                  <c:v>9779</c:v>
                </c:pt>
                <c:pt idx="8">
                  <c:v>14414</c:v>
                </c:pt>
                <c:pt idx="9">
                  <c:v>15639</c:v>
                </c:pt>
                <c:pt idx="10">
                  <c:v>16435</c:v>
                </c:pt>
                <c:pt idx="11">
                  <c:v>21368</c:v>
                </c:pt>
                <c:pt idx="12">
                  <c:v>10464</c:v>
                </c:pt>
                <c:pt idx="13">
                  <c:v>12684</c:v>
                </c:pt>
                <c:pt idx="14">
                  <c:v>17521</c:v>
                </c:pt>
                <c:pt idx="15">
                  <c:v>16121</c:v>
                </c:pt>
                <c:pt idx="16">
                  <c:v>16952</c:v>
                </c:pt>
                <c:pt idx="17">
                  <c:v>19558</c:v>
                </c:pt>
                <c:pt idx="18">
                  <c:v>17945</c:v>
                </c:pt>
                <c:pt idx="19">
                  <c:v>12024</c:v>
                </c:pt>
                <c:pt idx="20">
                  <c:v>12447</c:v>
                </c:pt>
                <c:pt idx="21">
                  <c:v>6536</c:v>
                </c:pt>
                <c:pt idx="22">
                  <c:v>9903</c:v>
                </c:pt>
                <c:pt idx="23">
                  <c:v>11166</c:v>
                </c:pt>
                <c:pt idx="24">
                  <c:v>10020</c:v>
                </c:pt>
                <c:pt idx="25">
                  <c:v>9030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A883-4E83-851A-DD20C3526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78240"/>
        <c:axId val="216779776"/>
      </c:lineChart>
      <c:catAx>
        <c:axId val="216778240"/>
        <c:scaling>
          <c:orientation val="minMax"/>
        </c:scaling>
        <c:delete val="0"/>
        <c:axPos val="b"/>
        <c:majorGridlines>
          <c:spPr>
            <a:ln>
              <a:solidFill>
                <a:srgbClr val="F6862A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79776"/>
        <c:crosses val="autoZero"/>
        <c:auto val="1"/>
        <c:lblAlgn val="ctr"/>
        <c:lblOffset val="100"/>
        <c:noMultiLvlLbl val="0"/>
      </c:catAx>
      <c:valAx>
        <c:axId val="216779776"/>
        <c:scaling>
          <c:orientation val="minMax"/>
        </c:scaling>
        <c:delete val="0"/>
        <c:axPos val="l"/>
        <c:minorGridlines>
          <c:spPr>
            <a:ln>
              <a:solidFill>
                <a:schemeClr val="accent2">
                  <a:lumMod val="20000"/>
                  <a:lumOff val="80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78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2962836436294E-2"/>
          <c:y val="8.172329462791704E-2"/>
          <c:w val="0.44640331671178596"/>
          <c:h val="9.663598347357584E-2"/>
        </c:manualLayout>
      </c:layout>
      <c:overlay val="0"/>
      <c:spPr>
        <a:noFill/>
      </c:spPr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84668</xdr:colOff>
      <xdr:row>2</xdr:row>
      <xdr:rowOff>148168</xdr:rowOff>
    </xdr:from>
    <xdr:to>
      <xdr:col>23</xdr:col>
      <xdr:colOff>571501</xdr:colOff>
      <xdr:row>29</xdr:row>
      <xdr:rowOff>119063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358511</xdr:colOff>
      <xdr:row>3</xdr:row>
      <xdr:rowOff>44979</xdr:rowOff>
    </xdr:from>
    <xdr:to>
      <xdr:col>29</xdr:col>
      <xdr:colOff>231510</xdr:colOff>
      <xdr:row>29</xdr:row>
      <xdr:rowOff>95249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687915</xdr:colOff>
      <xdr:row>1</xdr:row>
      <xdr:rowOff>59532</xdr:rowOff>
    </xdr:from>
    <xdr:to>
      <xdr:col>22</xdr:col>
      <xdr:colOff>202140</xdr:colOff>
      <xdr:row>33</xdr:row>
      <xdr:rowOff>178594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94188</xdr:colOff>
      <xdr:row>2</xdr:row>
      <xdr:rowOff>52916</xdr:rowOff>
    </xdr:from>
    <xdr:to>
      <xdr:col>24</xdr:col>
      <xdr:colOff>478367</xdr:colOff>
      <xdr:row>14</xdr:row>
      <xdr:rowOff>169334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2</xdr:row>
      <xdr:rowOff>0</xdr:rowOff>
    </xdr:from>
    <xdr:to>
      <xdr:col>31</xdr:col>
      <xdr:colOff>278346</xdr:colOff>
      <xdr:row>14</xdr:row>
      <xdr:rowOff>116418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AB7AC0B-9300-401B-8D81-12ECFECDB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105832</xdr:colOff>
      <xdr:row>0</xdr:row>
      <xdr:rowOff>84665</xdr:rowOff>
    </xdr:from>
    <xdr:to>
      <xdr:col>26</xdr:col>
      <xdr:colOff>35718</xdr:colOff>
      <xdr:row>10</xdr:row>
      <xdr:rowOff>105832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645582</xdr:colOff>
      <xdr:row>10</xdr:row>
      <xdr:rowOff>84670</xdr:rowOff>
    </xdr:from>
    <xdr:to>
      <xdr:col>25</xdr:col>
      <xdr:colOff>571500</xdr:colOff>
      <xdr:row>25</xdr:row>
      <xdr:rowOff>74085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582082</xdr:colOff>
      <xdr:row>38</xdr:row>
      <xdr:rowOff>148166</xdr:rowOff>
    </xdr:from>
    <xdr:to>
      <xdr:col>25</xdr:col>
      <xdr:colOff>571500</xdr:colOff>
      <xdr:row>51</xdr:row>
      <xdr:rowOff>179916</xdr:rowOff>
    </xdr:to>
    <xdr:graphicFrame macro="">
      <xdr:nvGraphicFramePr>
        <xdr:cNvPr id="8" name="Wykres 1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539750</xdr:colOff>
      <xdr:row>25</xdr:row>
      <xdr:rowOff>84668</xdr:rowOff>
    </xdr:from>
    <xdr:to>
      <xdr:col>25</xdr:col>
      <xdr:colOff>529168</xdr:colOff>
      <xdr:row>38</xdr:row>
      <xdr:rowOff>148166</xdr:rowOff>
    </xdr:to>
    <xdr:graphicFrame macro="">
      <xdr:nvGraphicFramePr>
        <xdr:cNvPr id="5" name="Wykres 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191822</xdr:colOff>
      <xdr:row>1</xdr:row>
      <xdr:rowOff>54240</xdr:rowOff>
    </xdr:from>
    <xdr:to>
      <xdr:col>27</xdr:col>
      <xdr:colOff>291040</xdr:colOff>
      <xdr:row>11</xdr:row>
      <xdr:rowOff>170655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170657</xdr:colOff>
      <xdr:row>12</xdr:row>
      <xdr:rowOff>148166</xdr:rowOff>
    </xdr:from>
    <xdr:to>
      <xdr:col>27</xdr:col>
      <xdr:colOff>269875</xdr:colOff>
      <xdr:row>25</xdr:row>
      <xdr:rowOff>158748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228601</xdr:colOff>
      <xdr:row>2</xdr:row>
      <xdr:rowOff>57150</xdr:rowOff>
    </xdr:from>
    <xdr:to>
      <xdr:col>27</xdr:col>
      <xdr:colOff>28575</xdr:colOff>
      <xdr:row>17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0A91348-8CEC-415A-91D2-E2D1B542B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276225</xdr:colOff>
      <xdr:row>17</xdr:row>
      <xdr:rowOff>114299</xdr:rowOff>
    </xdr:from>
    <xdr:to>
      <xdr:col>27</xdr:col>
      <xdr:colOff>1</xdr:colOff>
      <xdr:row>33</xdr:row>
      <xdr:rowOff>133349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04FAF47-9389-4941-9FC6-ADC3C0443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N9"/>
  <sheetViews>
    <sheetView tabSelected="1"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0.28515625" style="11" customWidth="1"/>
    <col min="3" max="3" width="10.42578125" style="11" customWidth="1"/>
    <col min="4" max="4" width="9.7109375" style="11" customWidth="1"/>
    <col min="5" max="5" width="8.5703125" style="11" customWidth="1"/>
    <col min="6" max="6" width="10.140625" style="11" customWidth="1"/>
    <col min="7" max="7" width="9.28515625" style="11" customWidth="1"/>
    <col min="8" max="8" width="8.140625" style="11" customWidth="1"/>
    <col min="9" max="9" width="12.7109375" style="11" customWidth="1"/>
    <col min="10" max="10" width="12.28515625" style="11" customWidth="1"/>
    <col min="11" max="11" width="4.140625" style="11" customWidth="1"/>
    <col min="12" max="12" width="5.28515625" style="11" customWidth="1"/>
    <col min="13" max="16384" width="9.140625" style="11"/>
  </cols>
  <sheetData>
    <row r="1" spans="2:14" x14ac:dyDescent="0.25">
      <c r="B1" s="11" t="s">
        <v>244</v>
      </c>
    </row>
    <row r="2" spans="2:14" ht="15.75" thickBot="1" x14ac:dyDescent="0.3">
      <c r="B2" s="11" t="s">
        <v>543</v>
      </c>
    </row>
    <row r="3" spans="2:14" ht="30" customHeight="1" x14ac:dyDescent="0.25">
      <c r="B3" s="973" t="s">
        <v>103</v>
      </c>
      <c r="C3" s="976" t="s">
        <v>481</v>
      </c>
      <c r="D3" s="976"/>
      <c r="E3" s="977"/>
      <c r="F3" s="976" t="s">
        <v>482</v>
      </c>
      <c r="G3" s="976"/>
      <c r="H3" s="977"/>
      <c r="I3" s="978" t="s">
        <v>247</v>
      </c>
      <c r="J3" s="981" t="s">
        <v>283</v>
      </c>
    </row>
    <row r="4" spans="2:14" ht="26.25" customHeight="1" x14ac:dyDescent="0.25">
      <c r="B4" s="974"/>
      <c r="C4" s="984" t="s">
        <v>291</v>
      </c>
      <c r="D4" s="986" t="s">
        <v>94</v>
      </c>
      <c r="E4" s="987"/>
      <c r="F4" s="984" t="s">
        <v>291</v>
      </c>
      <c r="G4" s="986" t="s">
        <v>94</v>
      </c>
      <c r="H4" s="987"/>
      <c r="I4" s="979"/>
      <c r="J4" s="982"/>
    </row>
    <row r="5" spans="2:14" ht="34.5" customHeight="1" thickBot="1" x14ac:dyDescent="0.3">
      <c r="B5" s="975"/>
      <c r="C5" s="985"/>
      <c r="D5" s="631" t="s">
        <v>107</v>
      </c>
      <c r="E5" s="643" t="s">
        <v>369</v>
      </c>
      <c r="F5" s="985"/>
      <c r="G5" s="631" t="s">
        <v>107</v>
      </c>
      <c r="H5" s="643" t="s">
        <v>369</v>
      </c>
      <c r="I5" s="980"/>
      <c r="J5" s="983"/>
    </row>
    <row r="6" spans="2:14" ht="34.5" customHeight="1" x14ac:dyDescent="0.25">
      <c r="B6" s="118" t="s">
        <v>4</v>
      </c>
      <c r="C6" s="257">
        <v>67653</v>
      </c>
      <c r="D6" s="46">
        <v>34679</v>
      </c>
      <c r="E6" s="97">
        <f>D6*100/C6</f>
        <v>51.260106721061888</v>
      </c>
      <c r="F6" s="257">
        <v>63814</v>
      </c>
      <c r="G6" s="46">
        <v>32664</v>
      </c>
      <c r="H6" s="97">
        <f>G6*100/F6</f>
        <v>51.186260068323563</v>
      </c>
      <c r="I6" s="55">
        <f>SUM(F6-C6)</f>
        <v>-3839</v>
      </c>
      <c r="J6" s="279">
        <f>SUM(I6/C6*100)</f>
        <v>-5.6745451051690248</v>
      </c>
      <c r="L6" s="296">
        <f>SUM(G6/F6)*100</f>
        <v>51.186260068323563</v>
      </c>
      <c r="M6" s="136">
        <v>201525</v>
      </c>
      <c r="N6" s="296">
        <f>SUM(F6)/M6*100</f>
        <v>31.665550179878426</v>
      </c>
    </row>
    <row r="7" spans="2:14" ht="27" customHeight="1" x14ac:dyDescent="0.25">
      <c r="B7" s="12" t="s">
        <v>0</v>
      </c>
      <c r="C7" s="50">
        <v>58487</v>
      </c>
      <c r="D7" s="9">
        <v>29394</v>
      </c>
      <c r="E7" s="7">
        <f>D7*100/C7</f>
        <v>50.257322139962724</v>
      </c>
      <c r="F7" s="50">
        <v>55556</v>
      </c>
      <c r="G7" s="9">
        <v>27884</v>
      </c>
      <c r="H7" s="7">
        <f>G7*100/F7</f>
        <v>50.190798473612212</v>
      </c>
      <c r="I7" s="50">
        <f>SUM(F7-C7)</f>
        <v>-2931</v>
      </c>
      <c r="J7" s="278">
        <f>SUM(I7/C7*100)</f>
        <v>-5.0113700480448644</v>
      </c>
      <c r="L7" s="296">
        <f>SUM(D6/C6)*100</f>
        <v>51.260106721061895</v>
      </c>
    </row>
    <row r="8" spans="2:14" ht="43.5" customHeight="1" x14ac:dyDescent="0.25">
      <c r="B8" s="12" t="s">
        <v>104</v>
      </c>
      <c r="C8" s="50">
        <v>2737</v>
      </c>
      <c r="D8" s="9">
        <v>1451</v>
      </c>
      <c r="E8" s="7">
        <f>D8*100/C8</f>
        <v>53.014249177932044</v>
      </c>
      <c r="F8" s="50">
        <v>2690</v>
      </c>
      <c r="G8" s="9">
        <v>1426</v>
      </c>
      <c r="H8" s="7">
        <f>G8*100/F8</f>
        <v>53.011152416356879</v>
      </c>
      <c r="I8" s="50">
        <f>SUM(F8-C8)</f>
        <v>-47</v>
      </c>
      <c r="J8" s="278">
        <f>SUM(I8/C8*100)</f>
        <v>-1.7172086225794667</v>
      </c>
    </row>
    <row r="9" spans="2:14" ht="27.75" customHeight="1" thickBot="1" x14ac:dyDescent="0.3">
      <c r="B9" s="86" t="s">
        <v>2</v>
      </c>
      <c r="C9" s="3">
        <v>9166</v>
      </c>
      <c r="D9" s="5">
        <v>5285</v>
      </c>
      <c r="E9" s="8">
        <f>D9*100/C9</f>
        <v>57.658738817368537</v>
      </c>
      <c r="F9" s="3">
        <v>8258</v>
      </c>
      <c r="G9" s="5">
        <v>4780</v>
      </c>
      <c r="H9" s="8">
        <f>G9*100/F9</f>
        <v>57.883264713005573</v>
      </c>
      <c r="I9" s="3">
        <f>SUM(F9-C9)</f>
        <v>-908</v>
      </c>
      <c r="J9" s="280">
        <f>SUM(I9/C9*100)</f>
        <v>-9.9061749945450579</v>
      </c>
    </row>
  </sheetData>
  <mergeCells count="9">
    <mergeCell ref="B3:B5"/>
    <mergeCell ref="F3:H3"/>
    <mergeCell ref="C3:E3"/>
    <mergeCell ref="I3:I5"/>
    <mergeCell ref="J3:J5"/>
    <mergeCell ref="F4:F5"/>
    <mergeCell ref="G4:H4"/>
    <mergeCell ref="C4:C5"/>
    <mergeCell ref="D4:E4"/>
  </mergeCells>
  <pageMargins left="1.299212598425197" right="0.70866141732283472" top="1.1417322834645669" bottom="0.74803149606299213" header="0.31496062992125984" footer="0.31496062992125984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B1:P41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3.85546875" style="11" customWidth="1"/>
    <col min="3" max="3" width="14.85546875" style="11" customWidth="1"/>
    <col min="4" max="4" width="11.42578125" style="11" customWidth="1"/>
    <col min="5" max="5" width="13.85546875" style="11" customWidth="1"/>
    <col min="6" max="6" width="11.5703125" style="11" customWidth="1"/>
    <col min="7" max="7" width="1.5703125" style="11" customWidth="1"/>
    <col min="8" max="8" width="5" style="11" customWidth="1"/>
    <col min="9" max="9" width="1.42578125" style="11" customWidth="1"/>
    <col min="10" max="10" width="19.85546875" style="11" customWidth="1"/>
    <col min="11" max="11" width="16.5703125" style="11" customWidth="1"/>
    <col min="12" max="12" width="11.7109375" style="11" customWidth="1"/>
    <col min="13" max="13" width="15.7109375" style="11" customWidth="1"/>
    <col min="14" max="14" width="9.140625" style="11"/>
    <col min="15" max="15" width="1.5703125" style="11" customWidth="1"/>
    <col min="16" max="16" width="4.85546875" style="11" customWidth="1"/>
    <col min="17" max="16384" width="9.140625" style="11"/>
  </cols>
  <sheetData>
    <row r="1" spans="2:15" x14ac:dyDescent="0.25">
      <c r="B1" s="11" t="s">
        <v>563</v>
      </c>
    </row>
    <row r="2" spans="2:15" ht="15.75" thickBot="1" x14ac:dyDescent="0.3">
      <c r="B2" s="11" t="s">
        <v>560</v>
      </c>
    </row>
    <row r="3" spans="2:15" ht="20.25" customHeight="1" thickBot="1" x14ac:dyDescent="0.3">
      <c r="B3" s="658"/>
      <c r="C3" s="1043" t="s">
        <v>425</v>
      </c>
      <c r="D3" s="990"/>
      <c r="E3" s="1043" t="s">
        <v>484</v>
      </c>
      <c r="F3" s="990"/>
    </row>
    <row r="4" spans="2:15" ht="30.75" customHeight="1" thickBot="1" x14ac:dyDescent="0.3">
      <c r="B4" s="659" t="s">
        <v>3</v>
      </c>
      <c r="C4" s="648" t="s">
        <v>59</v>
      </c>
      <c r="D4" s="620" t="s">
        <v>369</v>
      </c>
      <c r="E4" s="648" t="s">
        <v>59</v>
      </c>
      <c r="F4" s="620" t="s">
        <v>369</v>
      </c>
    </row>
    <row r="5" spans="2:15" ht="18" customHeight="1" thickBot="1" x14ac:dyDescent="0.3">
      <c r="B5" s="119" t="s">
        <v>50</v>
      </c>
      <c r="C5" s="122">
        <f>SUM(C7:C12)</f>
        <v>65064</v>
      </c>
      <c r="D5" s="121">
        <f>SUM(D7:D12)</f>
        <v>100</v>
      </c>
      <c r="E5" s="122">
        <f>SUM(E7:E12)</f>
        <v>63814</v>
      </c>
      <c r="F5" s="121">
        <f>SUM(F7:F12)</f>
        <v>100</v>
      </c>
    </row>
    <row r="6" spans="2:15" ht="18" customHeight="1" thickBot="1" x14ac:dyDescent="0.3">
      <c r="B6" s="459" t="s">
        <v>60</v>
      </c>
      <c r="C6" s="275"/>
      <c r="D6" s="275"/>
      <c r="E6" s="275"/>
      <c r="F6" s="276"/>
      <c r="J6" s="136"/>
      <c r="K6" s="686">
        <v>45107</v>
      </c>
      <c r="L6" s="686">
        <v>37072</v>
      </c>
      <c r="M6" s="136"/>
      <c r="N6" s="136"/>
      <c r="O6" s="136"/>
    </row>
    <row r="7" spans="2:15" ht="21" customHeight="1" thickTop="1" x14ac:dyDescent="0.25">
      <c r="B7" s="123" t="s">
        <v>51</v>
      </c>
      <c r="C7" s="124">
        <v>8064</v>
      </c>
      <c r="D7" s="125">
        <f>SUM(C7/C5*100)</f>
        <v>12.393950571744744</v>
      </c>
      <c r="E7" s="126">
        <v>8392</v>
      </c>
      <c r="F7" s="684">
        <f>SUM(E7/E5*100)</f>
        <v>13.150719277901402</v>
      </c>
      <c r="H7" s="366">
        <f>SUM(F7:F8)</f>
        <v>38.768922180085873</v>
      </c>
      <c r="J7" s="366" t="s">
        <v>344</v>
      </c>
      <c r="K7" s="366">
        <f>SUM(F7:F9)</f>
        <v>64.832168489673109</v>
      </c>
      <c r="L7" s="296">
        <v>86.4</v>
      </c>
      <c r="M7" s="366">
        <f>SUM(K7-L7)</f>
        <v>-21.567831510326897</v>
      </c>
      <c r="N7" s="136"/>
    </row>
    <row r="8" spans="2:15" ht="18" customHeight="1" x14ac:dyDescent="0.25">
      <c r="B8" s="12" t="s">
        <v>52</v>
      </c>
      <c r="C8" s="13">
        <v>17339</v>
      </c>
      <c r="D8" s="25">
        <f>SUM(C8/C5*100)</f>
        <v>26.649145456781014</v>
      </c>
      <c r="E8" s="87">
        <v>16348</v>
      </c>
      <c r="F8" s="685">
        <f>SUM(E8/E5*100)</f>
        <v>25.618202902184471</v>
      </c>
      <c r="H8" s="366">
        <f>SUM(D7:D8)</f>
        <v>39.04309602852576</v>
      </c>
      <c r="J8" s="136" t="s">
        <v>345</v>
      </c>
      <c r="K8" s="366">
        <f>SUM(F10:F12)</f>
        <v>35.167831510326891</v>
      </c>
      <c r="L8" s="296">
        <v>13.6</v>
      </c>
      <c r="M8" s="366">
        <f>SUM(K8-L8)</f>
        <v>21.56783151032689</v>
      </c>
      <c r="N8" s="136"/>
    </row>
    <row r="9" spans="2:15" ht="15.75" customHeight="1" x14ac:dyDescent="0.25">
      <c r="B9" s="12" t="s">
        <v>53</v>
      </c>
      <c r="C9" s="13">
        <v>16682</v>
      </c>
      <c r="D9" s="25">
        <f>SUM(C9/C5*100)</f>
        <v>25.639370466002703</v>
      </c>
      <c r="E9" s="87">
        <v>16632</v>
      </c>
      <c r="F9" s="685">
        <f>SUM(E9/E5*100)</f>
        <v>26.063246309587239</v>
      </c>
      <c r="J9" s="136"/>
      <c r="K9" s="136"/>
      <c r="L9" s="296">
        <f>SUM(L7:L8)</f>
        <v>100</v>
      </c>
      <c r="M9" s="366">
        <f>SUM(M7:M8)</f>
        <v>0</v>
      </c>
      <c r="N9" s="136"/>
      <c r="O9" s="143"/>
    </row>
    <row r="10" spans="2:15" x14ac:dyDescent="0.25">
      <c r="B10" s="12" t="s">
        <v>54</v>
      </c>
      <c r="C10" s="13">
        <v>12770</v>
      </c>
      <c r="D10" s="25">
        <f>SUM(C10/C5*100)</f>
        <v>19.626828968400346</v>
      </c>
      <c r="E10" s="87">
        <v>12771</v>
      </c>
      <c r="F10" s="25">
        <f>SUM(E10/E5*100)</f>
        <v>20.012849844861631</v>
      </c>
      <c r="H10" s="136"/>
      <c r="I10" s="136"/>
      <c r="J10" s="136"/>
    </row>
    <row r="11" spans="2:15" x14ac:dyDescent="0.25">
      <c r="B11" s="12" t="s">
        <v>55</v>
      </c>
      <c r="C11" s="13">
        <v>6404</v>
      </c>
      <c r="D11" s="25">
        <f>SUM(C11/C5*100)</f>
        <v>9.8426165006762574</v>
      </c>
      <c r="E11" s="87">
        <v>6138</v>
      </c>
      <c r="F11" s="25">
        <f>SUM(E11/E5*100)</f>
        <v>9.618578995204814</v>
      </c>
    </row>
    <row r="12" spans="2:15" ht="15.75" thickBot="1" x14ac:dyDescent="0.3">
      <c r="B12" s="86" t="s">
        <v>61</v>
      </c>
      <c r="C12" s="18">
        <v>3805</v>
      </c>
      <c r="D12" s="26">
        <f>SUM(C12/C5*100)</f>
        <v>5.8480880363949339</v>
      </c>
      <c r="E12" s="88">
        <v>3533</v>
      </c>
      <c r="F12" s="26">
        <f>SUM(E12/E5*100)</f>
        <v>5.5364026702604443</v>
      </c>
    </row>
    <row r="13" spans="2:15" ht="12" customHeight="1" x14ac:dyDescent="0.25"/>
    <row r="14" spans="2:15" x14ac:dyDescent="0.25">
      <c r="B14" s="11" t="s">
        <v>564</v>
      </c>
      <c r="J14" s="11" t="s">
        <v>565</v>
      </c>
    </row>
    <row r="15" spans="2:15" ht="15.75" thickBot="1" x14ac:dyDescent="0.3">
      <c r="B15" s="11" t="s">
        <v>560</v>
      </c>
      <c r="J15" s="11" t="s">
        <v>544</v>
      </c>
    </row>
    <row r="16" spans="2:15" ht="22.5" customHeight="1" thickBot="1" x14ac:dyDescent="0.3">
      <c r="B16" s="658"/>
      <c r="C16" s="1043" t="s">
        <v>425</v>
      </c>
      <c r="D16" s="990"/>
      <c r="E16" s="1043" t="s">
        <v>484</v>
      </c>
      <c r="F16" s="990"/>
      <c r="J16" s="828"/>
      <c r="K16" s="840" t="s">
        <v>425</v>
      </c>
      <c r="L16" s="827"/>
      <c r="M16" s="840" t="s">
        <v>484</v>
      </c>
      <c r="N16" s="827"/>
    </row>
    <row r="17" spans="2:16" ht="34.5" customHeight="1" thickBot="1" x14ac:dyDescent="0.3">
      <c r="B17" s="659" t="s">
        <v>3</v>
      </c>
      <c r="C17" s="648" t="s">
        <v>59</v>
      </c>
      <c r="D17" s="620" t="s">
        <v>369</v>
      </c>
      <c r="E17" s="648" t="s">
        <v>59</v>
      </c>
      <c r="F17" s="620" t="s">
        <v>369</v>
      </c>
      <c r="J17" s="829" t="s">
        <v>3</v>
      </c>
      <c r="K17" s="648" t="s">
        <v>59</v>
      </c>
      <c r="L17" s="620" t="s">
        <v>369</v>
      </c>
      <c r="M17" s="648" t="s">
        <v>59</v>
      </c>
      <c r="N17" s="620" t="s">
        <v>369</v>
      </c>
    </row>
    <row r="18" spans="2:16" ht="19.5" customHeight="1" thickBot="1" x14ac:dyDescent="0.3">
      <c r="B18" s="119" t="s">
        <v>50</v>
      </c>
      <c r="C18" s="122">
        <f>SUM(C20:C24)</f>
        <v>65064</v>
      </c>
      <c r="D18" s="121">
        <f>SUM(D20:D24)</f>
        <v>100</v>
      </c>
      <c r="E18" s="122">
        <f>SUM(E20:E24)</f>
        <v>63814</v>
      </c>
      <c r="F18" s="121">
        <f>SUM(F20:F24)</f>
        <v>100</v>
      </c>
      <c r="J18" s="119" t="s">
        <v>50</v>
      </c>
      <c r="K18" s="122">
        <f>SUM(K20:K26)</f>
        <v>65064</v>
      </c>
      <c r="L18" s="121">
        <f>SUM(L20:L26)</f>
        <v>100</v>
      </c>
      <c r="M18" s="122">
        <f>SUM(M20:M26)</f>
        <v>63814</v>
      </c>
      <c r="N18" s="121">
        <f>SUM(N20:N26)</f>
        <v>100</v>
      </c>
    </row>
    <row r="19" spans="2:16" ht="15" customHeight="1" thickBot="1" x14ac:dyDescent="0.3">
      <c r="B19" s="1044" t="s">
        <v>62</v>
      </c>
      <c r="C19" s="1045"/>
      <c r="D19" s="1045"/>
      <c r="E19" s="1045"/>
      <c r="F19" s="1046"/>
      <c r="J19" s="841" t="s">
        <v>148</v>
      </c>
      <c r="K19" s="127"/>
      <c r="L19" s="127"/>
      <c r="M19" s="127"/>
      <c r="N19" s="128"/>
    </row>
    <row r="20" spans="2:16" ht="21.75" customHeight="1" thickTop="1" x14ac:dyDescent="0.25">
      <c r="B20" s="123" t="s">
        <v>63</v>
      </c>
      <c r="C20" s="126">
        <v>10165</v>
      </c>
      <c r="D20" s="125">
        <f>SUM(C20/C18*100)</f>
        <v>15.62307881470552</v>
      </c>
      <c r="E20" s="126">
        <v>10029</v>
      </c>
      <c r="F20" s="125">
        <f>SUM(E20/E18*100)</f>
        <v>15.715987087472968</v>
      </c>
      <c r="H20" s="366">
        <f>SUM(F20)-D20</f>
        <v>9.2908272767447286E-2</v>
      </c>
      <c r="J20" s="123" t="s">
        <v>56</v>
      </c>
      <c r="K20" s="126">
        <v>13552</v>
      </c>
      <c r="L20" s="125">
        <f>SUM(K20/K18*100)</f>
        <v>20.828722488626582</v>
      </c>
      <c r="M20" s="126">
        <v>13567</v>
      </c>
      <c r="N20" s="125">
        <f>SUM(M20/M18*100)</f>
        <v>21.260225028990504</v>
      </c>
      <c r="P20" s="366">
        <f>SUM(N26)+N20+N21</f>
        <v>60.826777823048232</v>
      </c>
    </row>
    <row r="21" spans="2:16" ht="30" x14ac:dyDescent="0.25">
      <c r="B21" s="12" t="s">
        <v>64</v>
      </c>
      <c r="C21" s="87">
        <v>17528</v>
      </c>
      <c r="D21" s="25">
        <f>SUM(C21/C18*100)</f>
        <v>26.939628673306281</v>
      </c>
      <c r="E21" s="87">
        <v>17210</v>
      </c>
      <c r="F21" s="685">
        <f>SUM(E21/E18*100)</f>
        <v>26.96900366690695</v>
      </c>
      <c r="H21" s="366">
        <f>SUM(F21,F23)</f>
        <v>53.956811984830921</v>
      </c>
      <c r="J21" s="12" t="s">
        <v>68</v>
      </c>
      <c r="K21" s="87">
        <v>17291</v>
      </c>
      <c r="L21" s="25">
        <f>SUM(K21/K18*100)</f>
        <v>26.575371941473016</v>
      </c>
      <c r="M21" s="87">
        <v>16991</v>
      </c>
      <c r="N21" s="25">
        <f>SUM(M21/M18*100)</f>
        <v>26.625818785846366</v>
      </c>
      <c r="P21" s="366">
        <f>SUM(L26)+L20+L21</f>
        <v>60.84470675027665</v>
      </c>
    </row>
    <row r="22" spans="2:16" ht="28.5" customHeight="1" x14ac:dyDescent="0.25">
      <c r="B22" s="12" t="s">
        <v>65</v>
      </c>
      <c r="C22" s="87">
        <v>7763</v>
      </c>
      <c r="D22" s="25">
        <f>SUM(C22/C18*100)</f>
        <v>11.931329152834133</v>
      </c>
      <c r="E22" s="87">
        <v>7601</v>
      </c>
      <c r="F22" s="25">
        <f>SUM(E22/E18*100)</f>
        <v>11.911179365029618</v>
      </c>
      <c r="J22" s="12" t="s">
        <v>69</v>
      </c>
      <c r="K22" s="87">
        <v>10588</v>
      </c>
      <c r="L22" s="25">
        <f>SUM(K22/K18*100)</f>
        <v>16.273207918357311</v>
      </c>
      <c r="M22" s="87">
        <v>10492</v>
      </c>
      <c r="N22" s="25">
        <f>SUM(M22/M18*100)</f>
        <v>16.441533205879587</v>
      </c>
      <c r="P22" s="687">
        <f>SUM(L20:L21)</f>
        <v>47.404094430099597</v>
      </c>
    </row>
    <row r="23" spans="2:16" ht="21.75" customHeight="1" x14ac:dyDescent="0.25">
      <c r="B23" s="12" t="s">
        <v>66</v>
      </c>
      <c r="C23" s="87">
        <v>17545</v>
      </c>
      <c r="D23" s="25">
        <f>SUM(C23/C18*100)</f>
        <v>26.965756793311201</v>
      </c>
      <c r="E23" s="87">
        <v>17222</v>
      </c>
      <c r="F23" s="685">
        <f>SUM(E23/E18*100)</f>
        <v>26.987808317923967</v>
      </c>
      <c r="I23" s="294"/>
      <c r="J23" s="12" t="s">
        <v>70</v>
      </c>
      <c r="K23" s="87">
        <v>9068</v>
      </c>
      <c r="L23" s="25">
        <f>SUM(K23/K18*100)</f>
        <v>13.937046600270502</v>
      </c>
      <c r="M23" s="87">
        <v>9019</v>
      </c>
      <c r="N23" s="25">
        <f>SUM(M23/M18*100)</f>
        <v>14.133262293540602</v>
      </c>
      <c r="P23" s="687">
        <f>SUM(N20:N21)</f>
        <v>47.886043814836867</v>
      </c>
    </row>
    <row r="24" spans="2:16" ht="22.5" customHeight="1" thickBot="1" x14ac:dyDescent="0.3">
      <c r="B24" s="86" t="s">
        <v>67</v>
      </c>
      <c r="C24" s="88">
        <v>12063</v>
      </c>
      <c r="D24" s="26">
        <f>SUM(C24/C18*100)</f>
        <v>18.540206565842862</v>
      </c>
      <c r="E24" s="88">
        <v>11752</v>
      </c>
      <c r="F24" s="26">
        <f>SUM(E24/E18*100)</f>
        <v>18.416021562666497</v>
      </c>
      <c r="G24" s="294"/>
      <c r="J24" s="129" t="s">
        <v>71</v>
      </c>
      <c r="K24" s="130">
        <v>4376</v>
      </c>
      <c r="L24" s="29">
        <f>SUM(K24/K18*100)</f>
        <v>6.7256854789130696</v>
      </c>
      <c r="M24" s="130">
        <v>4099</v>
      </c>
      <c r="N24" s="29">
        <f>SUM(M24/M18*100)</f>
        <v>6.4233553765631362</v>
      </c>
      <c r="P24" s="366"/>
    </row>
    <row r="25" spans="2:16" ht="22.5" customHeight="1" x14ac:dyDescent="0.25">
      <c r="J25" s="129" t="s">
        <v>58</v>
      </c>
      <c r="K25" s="130">
        <v>1444</v>
      </c>
      <c r="L25" s="29">
        <f>SUM(K25/K18*100)</f>
        <v>2.2193532521824664</v>
      </c>
      <c r="M25" s="130">
        <v>1388</v>
      </c>
      <c r="N25" s="29">
        <f>SUM(M25/M18*100)</f>
        <v>2.1750713009684395</v>
      </c>
      <c r="P25" s="366"/>
    </row>
    <row r="26" spans="2:16" ht="23.25" customHeight="1" thickBot="1" x14ac:dyDescent="0.3">
      <c r="J26" s="86" t="s">
        <v>57</v>
      </c>
      <c r="K26" s="88">
        <v>8745</v>
      </c>
      <c r="L26" s="26">
        <f>SUM(K26/K18*100)</f>
        <v>13.440612320177056</v>
      </c>
      <c r="M26" s="88">
        <v>8258</v>
      </c>
      <c r="N26" s="26">
        <f>SUM(M26/M18*100)</f>
        <v>12.940734008211363</v>
      </c>
    </row>
    <row r="28" spans="2:16" ht="22.5" customHeight="1" x14ac:dyDescent="0.25"/>
    <row r="29" spans="2:16" ht="28.5" customHeight="1" x14ac:dyDescent="0.25"/>
    <row r="30" spans="2:16" ht="21" customHeight="1" x14ac:dyDescent="0.25"/>
    <row r="31" spans="2:16" ht="20.25" customHeight="1" x14ac:dyDescent="0.25"/>
    <row r="32" spans="2:16" ht="15.75" customHeight="1" x14ac:dyDescent="0.25"/>
    <row r="33" spans="3:10" x14ac:dyDescent="0.25">
      <c r="J33" s="366"/>
    </row>
    <row r="41" spans="3:10" x14ac:dyDescent="0.25">
      <c r="C41" s="48"/>
      <c r="D41" s="294"/>
      <c r="F41" s="294"/>
    </row>
  </sheetData>
  <mergeCells count="5">
    <mergeCell ref="C3:D3"/>
    <mergeCell ref="E3:F3"/>
    <mergeCell ref="C16:D16"/>
    <mergeCell ref="E16:F16"/>
    <mergeCell ref="B19:F19"/>
  </mergeCells>
  <pageMargins left="1.4960629921259843" right="0" top="0.6692913385826772" bottom="0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B1:Q28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3.7109375" style="11" customWidth="1"/>
    <col min="2" max="2" width="21.5703125" style="11" customWidth="1"/>
    <col min="3" max="4" width="9.140625" style="11" customWidth="1"/>
    <col min="5" max="6" width="9" style="11" customWidth="1"/>
    <col min="7" max="8" width="8.85546875" style="11" customWidth="1"/>
    <col min="9" max="9" width="13.140625" style="11" customWidth="1"/>
    <col min="10" max="10" width="13.7109375" style="11" customWidth="1"/>
    <col min="11" max="11" width="3" style="11" customWidth="1"/>
    <col min="12" max="12" width="9" style="11" customWidth="1"/>
    <col min="13" max="13" width="8.85546875" style="11" customWidth="1"/>
    <col min="14" max="14" width="3.28515625" style="135" customWidth="1"/>
    <col min="15" max="16" width="9.140625" style="11"/>
    <col min="17" max="17" width="3.85546875" style="11" customWidth="1"/>
    <col min="18" max="16384" width="9.140625" style="11"/>
  </cols>
  <sheetData>
    <row r="1" spans="2:17" x14ac:dyDescent="0.25">
      <c r="B1" s="11" t="s">
        <v>555</v>
      </c>
    </row>
    <row r="2" spans="2:17" ht="15.75" thickBot="1" x14ac:dyDescent="0.3">
      <c r="B2" s="11" t="s">
        <v>556</v>
      </c>
    </row>
    <row r="3" spans="2:17" ht="24" customHeight="1" x14ac:dyDescent="0.25">
      <c r="B3" s="991" t="s">
        <v>146</v>
      </c>
      <c r="C3" s="1047" t="s">
        <v>425</v>
      </c>
      <c r="D3" s="1048"/>
      <c r="E3" s="1047" t="s">
        <v>483</v>
      </c>
      <c r="F3" s="1048"/>
      <c r="G3" s="1047" t="s">
        <v>484</v>
      </c>
      <c r="H3" s="1048"/>
      <c r="I3" s="837" t="s">
        <v>236</v>
      </c>
      <c r="J3" s="839"/>
    </row>
    <row r="4" spans="2:17" ht="37.5" customHeight="1" thickBot="1" x14ac:dyDescent="0.3">
      <c r="B4" s="992"/>
      <c r="C4" s="704" t="s">
        <v>4</v>
      </c>
      <c r="D4" s="700" t="s">
        <v>94</v>
      </c>
      <c r="E4" s="704" t="s">
        <v>4</v>
      </c>
      <c r="F4" s="700" t="s">
        <v>94</v>
      </c>
      <c r="G4" s="704" t="s">
        <v>4</v>
      </c>
      <c r="H4" s="700" t="s">
        <v>94</v>
      </c>
      <c r="I4" s="838" t="s">
        <v>150</v>
      </c>
      <c r="J4" s="834" t="s">
        <v>503</v>
      </c>
    </row>
    <row r="5" spans="2:17" ht="27.75" customHeight="1" thickBot="1" x14ac:dyDescent="0.3">
      <c r="B5" s="164" t="s">
        <v>14</v>
      </c>
      <c r="C5" s="701">
        <f t="shared" ref="C5:F5" si="0">SUM(C8:C28)</f>
        <v>40617</v>
      </c>
      <c r="D5" s="45">
        <f t="shared" si="0"/>
        <v>21573</v>
      </c>
      <c r="E5" s="701">
        <f>SUM(E8:E28)</f>
        <v>43028</v>
      </c>
      <c r="F5" s="45">
        <f t="shared" si="0"/>
        <v>22235</v>
      </c>
      <c r="G5" s="701">
        <f>SUM(G8:G28)</f>
        <v>40012</v>
      </c>
      <c r="H5" s="45">
        <f>SUM(H8:H28)</f>
        <v>20718</v>
      </c>
      <c r="I5" s="167">
        <f>SUM(G5-E5)</f>
        <v>-3016</v>
      </c>
      <c r="J5" s="166">
        <f>I5/E5*100</f>
        <v>-7.0093892349167977</v>
      </c>
      <c r="L5" s="296">
        <f>SUM(G5/T.I!F6*100)</f>
        <v>62.700974707744386</v>
      </c>
      <c r="M5" s="300"/>
    </row>
    <row r="6" spans="2:17" ht="36.75" thickBot="1" x14ac:dyDescent="0.3">
      <c r="B6" s="311" t="s">
        <v>149</v>
      </c>
      <c r="C6" s="702">
        <v>6159</v>
      </c>
      <c r="D6" s="312">
        <v>3443</v>
      </c>
      <c r="E6" s="702">
        <v>6461</v>
      </c>
      <c r="F6" s="312">
        <v>3553</v>
      </c>
      <c r="G6" s="702">
        <v>5999</v>
      </c>
      <c r="H6" s="312">
        <v>3275</v>
      </c>
      <c r="I6" s="313">
        <f>SUM(G6-E6)</f>
        <v>-462</v>
      </c>
      <c r="J6" s="314">
        <f>I6/E6*100</f>
        <v>-7.150595882990249</v>
      </c>
      <c r="L6" s="705" t="s">
        <v>313</v>
      </c>
      <c r="M6" s="705" t="s">
        <v>314</v>
      </c>
      <c r="O6" s="705" t="s">
        <v>313</v>
      </c>
      <c r="P6" s="705" t="s">
        <v>314</v>
      </c>
      <c r="Q6" s="135"/>
    </row>
    <row r="7" spans="2:17" ht="27.75" customHeight="1" thickBot="1" x14ac:dyDescent="0.3">
      <c r="B7" s="171" t="s">
        <v>151</v>
      </c>
      <c r="C7" s="284"/>
      <c r="D7" s="173"/>
      <c r="E7" s="284"/>
      <c r="F7" s="173"/>
      <c r="G7" s="172"/>
      <c r="H7" s="172"/>
      <c r="I7" s="173"/>
      <c r="J7" s="350"/>
      <c r="L7" s="367" t="s">
        <v>93</v>
      </c>
      <c r="M7" s="367" t="s">
        <v>93</v>
      </c>
      <c r="O7" s="367" t="s">
        <v>93</v>
      </c>
      <c r="P7" s="367" t="s">
        <v>93</v>
      </c>
      <c r="Q7" s="135"/>
    </row>
    <row r="8" spans="2:17" ht="15" customHeight="1" x14ac:dyDescent="0.25">
      <c r="B8" s="272" t="s">
        <v>15</v>
      </c>
      <c r="C8" s="703">
        <v>625</v>
      </c>
      <c r="D8" s="285">
        <v>306</v>
      </c>
      <c r="E8" s="703">
        <v>678</v>
      </c>
      <c r="F8" s="285">
        <v>335</v>
      </c>
      <c r="G8" s="703">
        <v>661</v>
      </c>
      <c r="H8" s="285">
        <v>308</v>
      </c>
      <c r="I8" s="288">
        <f t="shared" ref="I8:I28" si="1">SUM(G8-E8)</f>
        <v>-17</v>
      </c>
      <c r="J8" s="169">
        <f t="shared" ref="J8:J28" si="2">I8/E8*100</f>
        <v>-2.5073746312684366</v>
      </c>
      <c r="L8" s="179">
        <f>RANK(G8,G8:G28,0)</f>
        <v>21</v>
      </c>
      <c r="M8" s="179">
        <f>RANK(G8,G8:G28,1)</f>
        <v>1</v>
      </c>
      <c r="N8" s="135">
        <v>1</v>
      </c>
      <c r="O8" s="179">
        <f>RANK(J8,J8:J28,0)</f>
        <v>5</v>
      </c>
      <c r="P8" s="179">
        <f>RANK(J8,J8:J28,1)</f>
        <v>17</v>
      </c>
      <c r="Q8" s="135">
        <v>1</v>
      </c>
    </row>
    <row r="9" spans="2:17" ht="16.5" customHeight="1" x14ac:dyDescent="0.25">
      <c r="B9" s="175" t="s">
        <v>16</v>
      </c>
      <c r="C9" s="634">
        <v>3274</v>
      </c>
      <c r="D9" s="286">
        <v>1736</v>
      </c>
      <c r="E9" s="634">
        <v>3552</v>
      </c>
      <c r="F9" s="286">
        <v>1778</v>
      </c>
      <c r="G9" s="634">
        <v>3151</v>
      </c>
      <c r="H9" s="286">
        <v>1620</v>
      </c>
      <c r="I9" s="289">
        <f t="shared" si="1"/>
        <v>-401</v>
      </c>
      <c r="J9" s="277">
        <f t="shared" si="2"/>
        <v>-11.289414414414415</v>
      </c>
      <c r="L9" s="9">
        <f>RANK(G9,G8:G28,0)</f>
        <v>3</v>
      </c>
      <c r="M9" s="9">
        <f>RANK(G9,G8:G28,1)</f>
        <v>19</v>
      </c>
      <c r="N9" s="135">
        <v>2</v>
      </c>
      <c r="O9" s="9">
        <f>RANK(J9,J8:J28,0)</f>
        <v>19</v>
      </c>
      <c r="P9" s="9">
        <f>RANK(J9,J8:J28,1)</f>
        <v>3</v>
      </c>
      <c r="Q9" s="135">
        <v>2</v>
      </c>
    </row>
    <row r="10" spans="2:17" ht="18" customHeight="1" x14ac:dyDescent="0.25">
      <c r="B10" s="175" t="s">
        <v>17</v>
      </c>
      <c r="C10" s="634">
        <v>1399</v>
      </c>
      <c r="D10" s="286">
        <v>858</v>
      </c>
      <c r="E10" s="634">
        <v>1433</v>
      </c>
      <c r="F10" s="286">
        <v>847</v>
      </c>
      <c r="G10" s="634">
        <v>1333</v>
      </c>
      <c r="H10" s="286">
        <v>797</v>
      </c>
      <c r="I10" s="289">
        <f t="shared" si="1"/>
        <v>-100</v>
      </c>
      <c r="J10" s="277">
        <f t="shared" si="2"/>
        <v>-6.9783670621074672</v>
      </c>
      <c r="L10" s="9">
        <f>RANK(G10,G8:G28,0)</f>
        <v>15</v>
      </c>
      <c r="M10" s="9">
        <f>RANK(G10,G8:G28,1)</f>
        <v>7</v>
      </c>
      <c r="N10" s="135">
        <v>3</v>
      </c>
      <c r="O10" s="9">
        <f>RANK(J10,J8:J28,0)</f>
        <v>11</v>
      </c>
      <c r="P10" s="9">
        <f>RANK(J10,J8:J28,1)</f>
        <v>11</v>
      </c>
      <c r="Q10" s="135">
        <v>3</v>
      </c>
    </row>
    <row r="11" spans="2:17" x14ac:dyDescent="0.25">
      <c r="B11" s="175" t="s">
        <v>18</v>
      </c>
      <c r="C11" s="634">
        <v>2621</v>
      </c>
      <c r="D11" s="286">
        <v>1419</v>
      </c>
      <c r="E11" s="634">
        <v>2665</v>
      </c>
      <c r="F11" s="286">
        <v>1398</v>
      </c>
      <c r="G11" s="634">
        <v>2609</v>
      </c>
      <c r="H11" s="286">
        <v>1368</v>
      </c>
      <c r="I11" s="289">
        <f t="shared" si="1"/>
        <v>-56</v>
      </c>
      <c r="J11" s="277">
        <f t="shared" si="2"/>
        <v>-2.1013133208255161</v>
      </c>
      <c r="L11" s="9">
        <f>RANK(G11,G8:G28,0)</f>
        <v>6</v>
      </c>
      <c r="M11" s="9">
        <f>RANK(G11,G8:G28,1)</f>
        <v>16</v>
      </c>
      <c r="N11" s="135">
        <v>4</v>
      </c>
      <c r="O11" s="9">
        <f>RANK(J11,J8:J28,0)</f>
        <v>4</v>
      </c>
      <c r="P11" s="9">
        <f>RANK(J11,J8:J28,1)</f>
        <v>18</v>
      </c>
      <c r="Q11" s="135">
        <v>4</v>
      </c>
    </row>
    <row r="12" spans="2:17" x14ac:dyDescent="0.25">
      <c r="B12" s="175" t="s">
        <v>19</v>
      </c>
      <c r="C12" s="634">
        <v>3321</v>
      </c>
      <c r="D12" s="286">
        <v>1952</v>
      </c>
      <c r="E12" s="634">
        <v>3641</v>
      </c>
      <c r="F12" s="286">
        <v>2091</v>
      </c>
      <c r="G12" s="634">
        <v>3319</v>
      </c>
      <c r="H12" s="286">
        <v>1954</v>
      </c>
      <c r="I12" s="289">
        <f t="shared" si="1"/>
        <v>-322</v>
      </c>
      <c r="J12" s="277">
        <f t="shared" si="2"/>
        <v>-8.8437242515792374</v>
      </c>
      <c r="L12" s="9">
        <f>RANK(G12,G8:G28,0)</f>
        <v>2</v>
      </c>
      <c r="M12" s="9">
        <f>RANK(G12,G8:G28,1)</f>
        <v>20</v>
      </c>
      <c r="N12" s="135">
        <v>5</v>
      </c>
      <c r="O12" s="9">
        <f>RANK(J12,J8:J28,0)</f>
        <v>15</v>
      </c>
      <c r="P12" s="9">
        <f>RANK(J12,J8:J28,1)</f>
        <v>7</v>
      </c>
      <c r="Q12" s="135">
        <v>5</v>
      </c>
    </row>
    <row r="13" spans="2:17" ht="15.75" customHeight="1" x14ac:dyDescent="0.25">
      <c r="B13" s="175" t="s">
        <v>20</v>
      </c>
      <c r="C13" s="634">
        <v>1336</v>
      </c>
      <c r="D13" s="286">
        <v>684</v>
      </c>
      <c r="E13" s="634">
        <v>1319</v>
      </c>
      <c r="F13" s="286">
        <v>647</v>
      </c>
      <c r="G13" s="634">
        <v>1316</v>
      </c>
      <c r="H13" s="286">
        <v>625</v>
      </c>
      <c r="I13" s="289">
        <f t="shared" si="1"/>
        <v>-3</v>
      </c>
      <c r="J13" s="277">
        <f t="shared" si="2"/>
        <v>-0.22744503411675512</v>
      </c>
      <c r="L13" s="9">
        <f>RANK(G13,G8:G28,0)</f>
        <v>16</v>
      </c>
      <c r="M13" s="9">
        <f>RANK(G13,G8:G28,1)</f>
        <v>6</v>
      </c>
      <c r="N13" s="135">
        <v>6</v>
      </c>
      <c r="O13" s="9">
        <f>RANK(J13,J8:J28,0)</f>
        <v>2</v>
      </c>
      <c r="P13" s="9">
        <f>RANK(J13,J8:J28,1)</f>
        <v>20</v>
      </c>
      <c r="Q13" s="135">
        <v>6</v>
      </c>
    </row>
    <row r="14" spans="2:17" x14ac:dyDescent="0.25">
      <c r="B14" s="175" t="s">
        <v>21</v>
      </c>
      <c r="C14" s="634">
        <v>1873</v>
      </c>
      <c r="D14" s="286">
        <v>1022</v>
      </c>
      <c r="E14" s="634">
        <v>2008</v>
      </c>
      <c r="F14" s="286">
        <v>1081</v>
      </c>
      <c r="G14" s="634">
        <v>1920</v>
      </c>
      <c r="H14" s="286">
        <v>1047</v>
      </c>
      <c r="I14" s="289">
        <f t="shared" si="1"/>
        <v>-88</v>
      </c>
      <c r="J14" s="277">
        <f t="shared" si="2"/>
        <v>-4.3824701195219129</v>
      </c>
      <c r="L14" s="9">
        <f>RANK(G14,G8:G28,0)</f>
        <v>9</v>
      </c>
      <c r="M14" s="9">
        <f>RANK(G14,G8:G28,1)</f>
        <v>13</v>
      </c>
      <c r="N14" s="135">
        <v>7</v>
      </c>
      <c r="O14" s="9">
        <f>RANK(J14,J8:J28,0)</f>
        <v>9</v>
      </c>
      <c r="P14" s="9">
        <f>RANK(J14,J8:J28,1)</f>
        <v>13</v>
      </c>
      <c r="Q14" s="135">
        <v>7</v>
      </c>
    </row>
    <row r="15" spans="2:17" x14ac:dyDescent="0.25">
      <c r="B15" s="175" t="s">
        <v>22</v>
      </c>
      <c r="C15" s="634">
        <v>1283</v>
      </c>
      <c r="D15" s="286">
        <v>629</v>
      </c>
      <c r="E15" s="634">
        <v>1439</v>
      </c>
      <c r="F15" s="286">
        <v>690</v>
      </c>
      <c r="G15" s="634">
        <v>1274</v>
      </c>
      <c r="H15" s="286">
        <v>599</v>
      </c>
      <c r="I15" s="289">
        <f t="shared" si="1"/>
        <v>-165</v>
      </c>
      <c r="J15" s="277">
        <f t="shared" si="2"/>
        <v>-11.466296038915914</v>
      </c>
      <c r="L15" s="9">
        <f>RANK(G15,G8:G28,0)</f>
        <v>17</v>
      </c>
      <c r="M15" s="9">
        <f>RANK(G15,G8:G28,1)</f>
        <v>5</v>
      </c>
      <c r="N15" s="135">
        <v>8</v>
      </c>
      <c r="O15" s="9">
        <f>RANK(J15,J8:J28,0)</f>
        <v>20</v>
      </c>
      <c r="P15" s="9">
        <f>RANK(J15,J8:J28,1)</f>
        <v>2</v>
      </c>
      <c r="Q15" s="135">
        <v>8</v>
      </c>
    </row>
    <row r="16" spans="2:17" x14ac:dyDescent="0.25">
      <c r="B16" s="175" t="s">
        <v>23</v>
      </c>
      <c r="C16" s="634">
        <v>2210</v>
      </c>
      <c r="D16" s="286">
        <v>1220</v>
      </c>
      <c r="E16" s="634">
        <v>2364</v>
      </c>
      <c r="F16" s="286">
        <v>1261</v>
      </c>
      <c r="G16" s="634">
        <v>2113</v>
      </c>
      <c r="H16" s="286">
        <v>1128</v>
      </c>
      <c r="I16" s="289">
        <f t="shared" si="1"/>
        <v>-251</v>
      </c>
      <c r="J16" s="277">
        <f t="shared" si="2"/>
        <v>-10.617597292724195</v>
      </c>
      <c r="L16" s="9">
        <f>RANK(G16,G8:G28,0)</f>
        <v>8</v>
      </c>
      <c r="M16" s="9">
        <f>RANK(G16,G8:G28,1)</f>
        <v>14</v>
      </c>
      <c r="N16" s="135">
        <v>9</v>
      </c>
      <c r="O16" s="9">
        <f>RANK(J16,J8:J28,0)</f>
        <v>18</v>
      </c>
      <c r="P16" s="9">
        <f>RANK(J16,J8:J28,1)</f>
        <v>4</v>
      </c>
      <c r="Q16" s="135">
        <v>9</v>
      </c>
    </row>
    <row r="17" spans="2:17" x14ac:dyDescent="0.25">
      <c r="B17" s="175" t="s">
        <v>24</v>
      </c>
      <c r="C17" s="634">
        <v>1028</v>
      </c>
      <c r="D17" s="286">
        <v>491</v>
      </c>
      <c r="E17" s="634">
        <v>1251</v>
      </c>
      <c r="F17" s="286">
        <v>581</v>
      </c>
      <c r="G17" s="634">
        <v>1027</v>
      </c>
      <c r="H17" s="286">
        <v>485</v>
      </c>
      <c r="I17" s="289">
        <f t="shared" si="1"/>
        <v>-224</v>
      </c>
      <c r="J17" s="277">
        <f t="shared" si="2"/>
        <v>-17.905675459632295</v>
      </c>
      <c r="L17" s="9">
        <f>RANK(G17,G8:G28,0)</f>
        <v>18</v>
      </c>
      <c r="M17" s="9">
        <f>RANK(G17,G8:G28,1)</f>
        <v>4</v>
      </c>
      <c r="N17" s="135">
        <v>10</v>
      </c>
      <c r="O17" s="9">
        <f>RANK(J17,J8:J28,0)</f>
        <v>21</v>
      </c>
      <c r="P17" s="9">
        <f>RANK(J17,J8:J28,1)</f>
        <v>1</v>
      </c>
      <c r="Q17" s="135">
        <v>10</v>
      </c>
    </row>
    <row r="18" spans="2:17" x14ac:dyDescent="0.25">
      <c r="B18" s="175" t="s">
        <v>25</v>
      </c>
      <c r="C18" s="634">
        <v>1947</v>
      </c>
      <c r="D18" s="286">
        <v>969</v>
      </c>
      <c r="E18" s="634">
        <v>2028</v>
      </c>
      <c r="F18" s="286">
        <v>959</v>
      </c>
      <c r="G18" s="634">
        <v>1857</v>
      </c>
      <c r="H18" s="286">
        <v>897</v>
      </c>
      <c r="I18" s="289">
        <f t="shared" si="1"/>
        <v>-171</v>
      </c>
      <c r="J18" s="277">
        <f t="shared" si="2"/>
        <v>-8.4319526627218941</v>
      </c>
      <c r="L18" s="9">
        <f>RANK(G18,G8:G28,0)</f>
        <v>10</v>
      </c>
      <c r="M18" s="9">
        <f>RANK(G18,G8:G28,1)</f>
        <v>12</v>
      </c>
      <c r="N18" s="135">
        <v>11</v>
      </c>
      <c r="O18" s="9">
        <f>RANK(J18,J8:J28,0)</f>
        <v>14</v>
      </c>
      <c r="P18" s="9">
        <f>RANK(J18,J8:J28,1)</f>
        <v>8</v>
      </c>
      <c r="Q18" s="135">
        <v>11</v>
      </c>
    </row>
    <row r="19" spans="2:17" x14ac:dyDescent="0.25">
      <c r="B19" s="175" t="s">
        <v>26</v>
      </c>
      <c r="C19" s="634">
        <v>1379</v>
      </c>
      <c r="D19" s="286">
        <v>709</v>
      </c>
      <c r="E19" s="634">
        <v>1546</v>
      </c>
      <c r="F19" s="286">
        <v>810</v>
      </c>
      <c r="G19" s="634">
        <v>1438</v>
      </c>
      <c r="H19" s="286">
        <v>733</v>
      </c>
      <c r="I19" s="289">
        <f t="shared" si="1"/>
        <v>-108</v>
      </c>
      <c r="J19" s="277">
        <f t="shared" si="2"/>
        <v>-6.985769728331177</v>
      </c>
      <c r="L19" s="9">
        <f>RANK(G19,G8:G28,0)</f>
        <v>14</v>
      </c>
      <c r="M19" s="9">
        <f>RANK(G19,G8:G28,1)</f>
        <v>8</v>
      </c>
      <c r="N19" s="135">
        <v>12</v>
      </c>
      <c r="O19" s="9">
        <f>RANK(J19,J8:J28,0)</f>
        <v>12</v>
      </c>
      <c r="P19" s="9">
        <f>RANK(J19,J8:J28,1)</f>
        <v>10</v>
      </c>
      <c r="Q19" s="135">
        <v>12</v>
      </c>
    </row>
    <row r="20" spans="2:17" x14ac:dyDescent="0.25">
      <c r="B20" s="175" t="s">
        <v>27</v>
      </c>
      <c r="C20" s="634">
        <v>1944</v>
      </c>
      <c r="D20" s="286">
        <v>1005</v>
      </c>
      <c r="E20" s="634">
        <v>2002</v>
      </c>
      <c r="F20" s="286">
        <v>992</v>
      </c>
      <c r="G20" s="634">
        <v>1834</v>
      </c>
      <c r="H20" s="286">
        <v>915</v>
      </c>
      <c r="I20" s="289">
        <f t="shared" si="1"/>
        <v>-168</v>
      </c>
      <c r="J20" s="277">
        <f t="shared" si="2"/>
        <v>-8.3916083916083917</v>
      </c>
      <c r="L20" s="9">
        <f>RANK(G20,G8:G28,0)</f>
        <v>11</v>
      </c>
      <c r="M20" s="9">
        <f>RANK(G20,G8:G28,1)</f>
        <v>11</v>
      </c>
      <c r="N20" s="135">
        <v>13</v>
      </c>
      <c r="O20" s="9">
        <f>RANK(J20,J8:J28,0)</f>
        <v>13</v>
      </c>
      <c r="P20" s="9">
        <f>RANK(J20,J8:J28,1)</f>
        <v>9</v>
      </c>
      <c r="Q20" s="135">
        <v>13</v>
      </c>
    </row>
    <row r="21" spans="2:17" x14ac:dyDescent="0.25">
      <c r="B21" s="176" t="s">
        <v>28</v>
      </c>
      <c r="C21" s="634">
        <v>2772</v>
      </c>
      <c r="D21" s="286">
        <v>1441</v>
      </c>
      <c r="E21" s="634">
        <v>2944</v>
      </c>
      <c r="F21" s="286">
        <v>1475</v>
      </c>
      <c r="G21" s="634">
        <v>2645</v>
      </c>
      <c r="H21" s="286">
        <v>1331</v>
      </c>
      <c r="I21" s="289">
        <f t="shared" si="1"/>
        <v>-299</v>
      </c>
      <c r="J21" s="277">
        <f t="shared" si="2"/>
        <v>-10.15625</v>
      </c>
      <c r="L21" s="9">
        <f>RANK(G21,G8:G28,0)</f>
        <v>5</v>
      </c>
      <c r="M21" s="9">
        <f>RANK(G21,G8:G28,1)</f>
        <v>17</v>
      </c>
      <c r="N21" s="135">
        <v>14</v>
      </c>
      <c r="O21" s="9">
        <f>RANK(J21,J8:J28,0)</f>
        <v>17</v>
      </c>
      <c r="P21" s="9">
        <f>RANK(J21,J8:J28,1)</f>
        <v>5</v>
      </c>
      <c r="Q21" s="135">
        <v>14</v>
      </c>
    </row>
    <row r="22" spans="2:17" x14ac:dyDescent="0.25">
      <c r="B22" s="176" t="s">
        <v>29</v>
      </c>
      <c r="C22" s="634">
        <v>2388</v>
      </c>
      <c r="D22" s="286">
        <v>1319</v>
      </c>
      <c r="E22" s="634">
        <v>2615</v>
      </c>
      <c r="F22" s="286">
        <v>1430</v>
      </c>
      <c r="G22" s="634">
        <v>2353</v>
      </c>
      <c r="H22" s="286">
        <v>1286</v>
      </c>
      <c r="I22" s="289">
        <f t="shared" si="1"/>
        <v>-262</v>
      </c>
      <c r="J22" s="277">
        <f t="shared" si="2"/>
        <v>-10.019120458891013</v>
      </c>
      <c r="L22" s="9">
        <f>RANK(G22,G8:G28,0)</f>
        <v>7</v>
      </c>
      <c r="M22" s="9">
        <f>RANK(G22,G8:G28,1)</f>
        <v>15</v>
      </c>
      <c r="N22" s="135">
        <v>15</v>
      </c>
      <c r="O22" s="9">
        <f>RANK(J22,J8:J28,0)</f>
        <v>16</v>
      </c>
      <c r="P22" s="9">
        <f>RANK(J22,J8:J28,1)</f>
        <v>6</v>
      </c>
      <c r="Q22" s="135">
        <v>15</v>
      </c>
    </row>
    <row r="23" spans="2:17" x14ac:dyDescent="0.25">
      <c r="B23" s="176" t="s">
        <v>30</v>
      </c>
      <c r="C23" s="634">
        <v>1654</v>
      </c>
      <c r="D23" s="286">
        <v>898</v>
      </c>
      <c r="E23" s="634">
        <v>1660</v>
      </c>
      <c r="F23" s="286">
        <v>868</v>
      </c>
      <c r="G23" s="634">
        <v>1674</v>
      </c>
      <c r="H23" s="286">
        <v>890</v>
      </c>
      <c r="I23" s="289">
        <f t="shared" si="1"/>
        <v>14</v>
      </c>
      <c r="J23" s="277">
        <f t="shared" si="2"/>
        <v>0.84337349397590367</v>
      </c>
      <c r="L23" s="9">
        <f>RANK(G23,G8:G28,0)</f>
        <v>12</v>
      </c>
      <c r="M23" s="9">
        <f>RANK(G23,G8:G28,1)</f>
        <v>10</v>
      </c>
      <c r="N23" s="135">
        <v>16</v>
      </c>
      <c r="O23" s="9">
        <f>RANK(J23,J8:J28,0)</f>
        <v>1</v>
      </c>
      <c r="P23" s="9">
        <f>RANK(J23,J8:J28,1)</f>
        <v>21</v>
      </c>
      <c r="Q23" s="135">
        <v>16</v>
      </c>
    </row>
    <row r="24" spans="2:17" x14ac:dyDescent="0.25">
      <c r="B24" s="176" t="s">
        <v>31</v>
      </c>
      <c r="C24" s="634">
        <v>3625</v>
      </c>
      <c r="D24" s="286">
        <v>1788</v>
      </c>
      <c r="E24" s="634">
        <v>3698</v>
      </c>
      <c r="F24" s="286">
        <v>1838</v>
      </c>
      <c r="G24" s="634">
        <v>3510</v>
      </c>
      <c r="H24" s="286">
        <v>1680</v>
      </c>
      <c r="I24" s="289">
        <f t="shared" si="1"/>
        <v>-188</v>
      </c>
      <c r="J24" s="277">
        <f t="shared" si="2"/>
        <v>-5.0838290968090858</v>
      </c>
      <c r="L24" s="9">
        <f>RANK(G24,G8:G28,0)</f>
        <v>1</v>
      </c>
      <c r="M24" s="9">
        <f>RANK(G24,G8:G28,1)</f>
        <v>21</v>
      </c>
      <c r="N24" s="135">
        <v>17</v>
      </c>
      <c r="O24" s="9">
        <f>RANK(J24,J8:J28,0)</f>
        <v>10</v>
      </c>
      <c r="P24" s="9">
        <f>RANK(J24,J8:J28,1)</f>
        <v>12</v>
      </c>
      <c r="Q24" s="135">
        <v>17</v>
      </c>
    </row>
    <row r="25" spans="2:17" x14ac:dyDescent="0.25">
      <c r="B25" s="176" t="s">
        <v>32</v>
      </c>
      <c r="C25" s="634">
        <v>1514</v>
      </c>
      <c r="D25" s="286">
        <v>786</v>
      </c>
      <c r="E25" s="634">
        <v>1593</v>
      </c>
      <c r="F25" s="286">
        <v>790</v>
      </c>
      <c r="G25" s="634">
        <v>1571</v>
      </c>
      <c r="H25" s="286">
        <v>793</v>
      </c>
      <c r="I25" s="289">
        <f t="shared" si="1"/>
        <v>-22</v>
      </c>
      <c r="J25" s="277">
        <f t="shared" si="2"/>
        <v>-1.3810420590081607</v>
      </c>
      <c r="L25" s="9">
        <f>RANK(G25,G8:G28,0)</f>
        <v>13</v>
      </c>
      <c r="M25" s="9">
        <f>RANK(G25,G8:G28,1)</f>
        <v>9</v>
      </c>
      <c r="N25" s="135">
        <v>18</v>
      </c>
      <c r="O25" s="9">
        <f>RANK(J25,J8:J28,0)</f>
        <v>3</v>
      </c>
      <c r="P25" s="9">
        <f>RANK(J25,J8:J28,1)</f>
        <v>19</v>
      </c>
      <c r="Q25" s="135">
        <v>18</v>
      </c>
    </row>
    <row r="26" spans="2:17" x14ac:dyDescent="0.25">
      <c r="B26" s="176" t="s">
        <v>33</v>
      </c>
      <c r="C26" s="634">
        <v>746</v>
      </c>
      <c r="D26" s="286">
        <v>397</v>
      </c>
      <c r="E26" s="634">
        <v>755</v>
      </c>
      <c r="F26" s="286">
        <v>407</v>
      </c>
      <c r="G26" s="634">
        <v>723</v>
      </c>
      <c r="H26" s="286">
        <v>377</v>
      </c>
      <c r="I26" s="289">
        <f t="shared" si="1"/>
        <v>-32</v>
      </c>
      <c r="J26" s="277">
        <f t="shared" si="2"/>
        <v>-4.2384105960264904</v>
      </c>
      <c r="L26" s="9">
        <f>RANK(G26,G8:G28,0)</f>
        <v>20</v>
      </c>
      <c r="M26" s="9">
        <f>RANK(G26,G8:G28,1)</f>
        <v>2</v>
      </c>
      <c r="N26" s="135">
        <v>19</v>
      </c>
      <c r="O26" s="9">
        <f>RANK(J26,J8:J28,0)</f>
        <v>8</v>
      </c>
      <c r="P26" s="9">
        <f>RANK(J26,J8:J28,1)</f>
        <v>14</v>
      </c>
      <c r="Q26" s="135">
        <v>19</v>
      </c>
    </row>
    <row r="27" spans="2:17" x14ac:dyDescent="0.25">
      <c r="B27" s="176" t="s">
        <v>34</v>
      </c>
      <c r="C27" s="634">
        <v>2704</v>
      </c>
      <c r="D27" s="286">
        <v>1437</v>
      </c>
      <c r="E27" s="634">
        <v>2813</v>
      </c>
      <c r="F27" s="286">
        <v>1436</v>
      </c>
      <c r="G27" s="634">
        <v>2702</v>
      </c>
      <c r="H27" s="286">
        <v>1394</v>
      </c>
      <c r="I27" s="289">
        <f t="shared" si="1"/>
        <v>-111</v>
      </c>
      <c r="J27" s="277">
        <f t="shared" si="2"/>
        <v>-3.9459651617490223</v>
      </c>
      <c r="L27" s="9">
        <f>RANK(G27,G8:G28,0)</f>
        <v>4</v>
      </c>
      <c r="M27" s="9">
        <f>RANK(G27,G8:G28,1)</f>
        <v>18</v>
      </c>
      <c r="N27" s="135">
        <v>20</v>
      </c>
      <c r="O27" s="9">
        <f>RANK(J27,J8:J28,0)</f>
        <v>6</v>
      </c>
      <c r="P27" s="9">
        <f>RANK(J27,J8:J28,1)</f>
        <v>16</v>
      </c>
      <c r="Q27" s="135">
        <v>20</v>
      </c>
    </row>
    <row r="28" spans="2:17" ht="15.75" thickBot="1" x14ac:dyDescent="0.3">
      <c r="B28" s="177" t="s">
        <v>35</v>
      </c>
      <c r="C28" s="699">
        <v>974</v>
      </c>
      <c r="D28" s="287">
        <v>507</v>
      </c>
      <c r="E28" s="699">
        <v>1024</v>
      </c>
      <c r="F28" s="287">
        <v>521</v>
      </c>
      <c r="G28" s="699">
        <v>982</v>
      </c>
      <c r="H28" s="287">
        <v>491</v>
      </c>
      <c r="I28" s="290">
        <f t="shared" si="1"/>
        <v>-42</v>
      </c>
      <c r="J28" s="137">
        <f t="shared" si="2"/>
        <v>-4.1015625</v>
      </c>
      <c r="L28" s="9">
        <f>RANK(G28,G8:G28,0)</f>
        <v>19</v>
      </c>
      <c r="M28" s="9">
        <f>RANK(G28,G8:G28,1)</f>
        <v>3</v>
      </c>
      <c r="N28" s="135">
        <v>21</v>
      </c>
      <c r="O28" s="9">
        <f>RANK(J28,J8:J28,0)</f>
        <v>7</v>
      </c>
      <c r="P28" s="9">
        <f>RANK(J28,J8:J28,1)</f>
        <v>15</v>
      </c>
      <c r="Q28" s="135">
        <v>21</v>
      </c>
    </row>
  </sheetData>
  <mergeCells count="4">
    <mergeCell ref="C3:D3"/>
    <mergeCell ref="G3:H3"/>
    <mergeCell ref="E3:F3"/>
    <mergeCell ref="B3:B4"/>
  </mergeCells>
  <printOptions horizontalCentered="1"/>
  <pageMargins left="0" right="0" top="1.0236220472440944" bottom="0.31496062992125984" header="0.31496062992125984" footer="0.31496062992125984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B1:P36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1.7109375" style="11" customWidth="1"/>
    <col min="2" max="2" width="65.140625" style="11" customWidth="1"/>
    <col min="3" max="3" width="9.5703125" style="11" customWidth="1"/>
    <col min="4" max="4" width="7.85546875" style="11" customWidth="1"/>
    <col min="5" max="5" width="9.28515625" style="11" bestFit="1" customWidth="1"/>
    <col min="6" max="6" width="7.85546875" style="11" customWidth="1"/>
    <col min="7" max="7" width="9.5703125" style="11" customWidth="1"/>
    <col min="8" max="8" width="8" style="11" customWidth="1"/>
    <col min="9" max="9" width="9.28515625" style="11" bestFit="1" customWidth="1"/>
    <col min="10" max="10" width="8.7109375" style="11" customWidth="1"/>
    <col min="11" max="11" width="9.42578125" style="11" customWidth="1"/>
    <col min="12" max="12" width="7.28515625" style="11" customWidth="1"/>
    <col min="13" max="13" width="9.7109375" style="11" customWidth="1"/>
    <col min="14" max="14" width="7" style="11" customWidth="1"/>
    <col min="15" max="15" width="2.85546875" style="11" customWidth="1"/>
    <col min="16" max="16" width="4.28515625" style="136" customWidth="1"/>
    <col min="17" max="16384" width="9.140625" style="11"/>
  </cols>
  <sheetData>
    <row r="1" spans="2:16" ht="17.25" customHeight="1" x14ac:dyDescent="0.25">
      <c r="B1" s="969" t="s">
        <v>557</v>
      </c>
      <c r="O1" s="393"/>
    </row>
    <row r="2" spans="2:16" ht="16.5" customHeight="1" x14ac:dyDescent="0.25">
      <c r="B2" s="969" t="s">
        <v>567</v>
      </c>
      <c r="O2" s="697"/>
    </row>
    <row r="3" spans="2:16" ht="15.75" customHeight="1" thickBot="1" x14ac:dyDescent="0.3">
      <c r="B3" s="969" t="s">
        <v>566</v>
      </c>
      <c r="C3" s="162"/>
      <c r="D3" s="162"/>
      <c r="E3" s="162"/>
      <c r="F3" s="162"/>
      <c r="K3" s="143"/>
      <c r="L3" s="143"/>
      <c r="M3" s="143"/>
      <c r="N3" s="143"/>
      <c r="O3" s="143"/>
    </row>
    <row r="4" spans="2:16" x14ac:dyDescent="0.25">
      <c r="B4" s="1063" t="s">
        <v>103</v>
      </c>
      <c r="C4" s="1052" t="s">
        <v>481</v>
      </c>
      <c r="D4" s="1053"/>
      <c r="E4" s="1053"/>
      <c r="F4" s="1054"/>
      <c r="G4" s="1059" t="s">
        <v>482</v>
      </c>
      <c r="H4" s="1060"/>
      <c r="I4" s="1060"/>
      <c r="J4" s="1061"/>
      <c r="K4" s="1062" t="s">
        <v>109</v>
      </c>
      <c r="L4" s="1053"/>
      <c r="M4" s="1053"/>
      <c r="N4" s="1054"/>
      <c r="O4" s="357"/>
    </row>
    <row r="5" spans="2:16" x14ac:dyDescent="0.25">
      <c r="B5" s="1064"/>
      <c r="C5" s="1049" t="s">
        <v>504</v>
      </c>
      <c r="D5" s="1050"/>
      <c r="E5" s="1050"/>
      <c r="F5" s="1050"/>
      <c r="G5" s="1050"/>
      <c r="H5" s="1050"/>
      <c r="I5" s="1050"/>
      <c r="J5" s="1050"/>
      <c r="K5" s="1050"/>
      <c r="L5" s="1050"/>
      <c r="M5" s="1050"/>
      <c r="N5" s="1051"/>
      <c r="O5" s="357"/>
    </row>
    <row r="6" spans="2:16" ht="15.75" customHeight="1" x14ac:dyDescent="0.25">
      <c r="B6" s="1064"/>
      <c r="C6" s="1055" t="s">
        <v>4</v>
      </c>
      <c r="D6" s="1056"/>
      <c r="E6" s="1057" t="s">
        <v>94</v>
      </c>
      <c r="F6" s="1058"/>
      <c r="G6" s="1067" t="s">
        <v>4</v>
      </c>
      <c r="H6" s="1068"/>
      <c r="I6" s="1069" t="s">
        <v>94</v>
      </c>
      <c r="J6" s="1070"/>
      <c r="K6" s="1066" t="s">
        <v>4</v>
      </c>
      <c r="L6" s="1056"/>
      <c r="M6" s="1057" t="s">
        <v>94</v>
      </c>
      <c r="N6" s="1058"/>
      <c r="O6" s="407"/>
    </row>
    <row r="7" spans="2:16" ht="15.75" customHeight="1" thickBot="1" x14ac:dyDescent="0.3">
      <c r="B7" s="1065"/>
      <c r="C7" s="716" t="s">
        <v>107</v>
      </c>
      <c r="D7" s="715" t="s">
        <v>369</v>
      </c>
      <c r="E7" s="713" t="s">
        <v>107</v>
      </c>
      <c r="F7" s="715" t="s">
        <v>369</v>
      </c>
      <c r="G7" s="907" t="s">
        <v>107</v>
      </c>
      <c r="H7" s="908" t="s">
        <v>369</v>
      </c>
      <c r="I7" s="909" t="s">
        <v>107</v>
      </c>
      <c r="J7" s="910" t="s">
        <v>369</v>
      </c>
      <c r="K7" s="713" t="s">
        <v>107</v>
      </c>
      <c r="L7" s="715" t="s">
        <v>369</v>
      </c>
      <c r="M7" s="713" t="s">
        <v>107</v>
      </c>
      <c r="N7" s="714" t="s">
        <v>369</v>
      </c>
      <c r="O7" s="408"/>
    </row>
    <row r="8" spans="2:16" ht="18.75" x14ac:dyDescent="0.3">
      <c r="B8" s="256" t="s">
        <v>106</v>
      </c>
      <c r="C8" s="257">
        <v>67653</v>
      </c>
      <c r="D8" s="96">
        <v>100</v>
      </c>
      <c r="E8" s="46">
        <v>34679</v>
      </c>
      <c r="F8" s="97">
        <v>100</v>
      </c>
      <c r="G8" s="257">
        <v>63814</v>
      </c>
      <c r="H8" s="96">
        <v>100</v>
      </c>
      <c r="I8" s="46">
        <v>32664</v>
      </c>
      <c r="J8" s="97">
        <v>100</v>
      </c>
      <c r="K8" s="258">
        <f>G8-C8</f>
        <v>-3839</v>
      </c>
      <c r="L8" s="259">
        <f>K8/C8*100</f>
        <v>-5.6745451051690248</v>
      </c>
      <c r="M8" s="260">
        <f>I8-E8</f>
        <v>-2015</v>
      </c>
      <c r="N8" s="261">
        <f>M8/E8*100</f>
        <v>-5.8104328267827787</v>
      </c>
      <c r="O8" s="404"/>
    </row>
    <row r="9" spans="2:16" ht="16.5" customHeight="1" thickBot="1" x14ac:dyDescent="0.3">
      <c r="B9" s="249" t="s">
        <v>225</v>
      </c>
      <c r="C9" s="3">
        <v>57841</v>
      </c>
      <c r="D9" s="246" t="s">
        <v>93</v>
      </c>
      <c r="E9" s="5">
        <v>30331</v>
      </c>
      <c r="F9" s="250" t="s">
        <v>93</v>
      </c>
      <c r="G9" s="3">
        <v>54625</v>
      </c>
      <c r="H9" s="246" t="s">
        <v>93</v>
      </c>
      <c r="I9" s="5">
        <v>28603</v>
      </c>
      <c r="J9" s="250" t="s">
        <v>93</v>
      </c>
      <c r="K9" s="109">
        <f>SUM(G9)-C9</f>
        <v>-3216</v>
      </c>
      <c r="L9" s="247">
        <f>K9/C9*100</f>
        <v>-5.5600698466485712</v>
      </c>
      <c r="M9" s="110">
        <f>SUM(I9)-E9</f>
        <v>-1728</v>
      </c>
      <c r="N9" s="248">
        <f>M9/E9*100</f>
        <v>-5.6971415383600936</v>
      </c>
      <c r="O9" s="405"/>
    </row>
    <row r="10" spans="2:16" ht="16.5" customHeight="1" thickBot="1" x14ac:dyDescent="0.3">
      <c r="B10" s="706" t="s">
        <v>49</v>
      </c>
      <c r="C10" s="707"/>
      <c r="D10" s="708"/>
      <c r="E10" s="707"/>
      <c r="F10" s="708"/>
      <c r="G10" s="707"/>
      <c r="H10" s="708"/>
      <c r="I10" s="707"/>
      <c r="J10" s="709"/>
      <c r="K10" s="710"/>
      <c r="L10" s="711"/>
      <c r="M10" s="710"/>
      <c r="N10" s="712"/>
      <c r="O10" s="409"/>
    </row>
    <row r="11" spans="2:16" x14ac:dyDescent="0.25">
      <c r="B11" s="238" t="s">
        <v>227</v>
      </c>
      <c r="C11" s="239">
        <v>17762</v>
      </c>
      <c r="D11" s="242">
        <f>SUM(C11*100/C8)</f>
        <v>26.254563729620269</v>
      </c>
      <c r="E11" s="241">
        <v>9486</v>
      </c>
      <c r="F11" s="244">
        <f>SUM(E11*100/E8)</f>
        <v>27.35372992300816</v>
      </c>
      <c r="G11" s="239">
        <v>16095</v>
      </c>
      <c r="H11" s="252">
        <f>SUM(G11*100/G8)</f>
        <v>25.221738176575673</v>
      </c>
      <c r="I11" s="241">
        <v>8533</v>
      </c>
      <c r="J11" s="254">
        <f>SUM(I11*100/I8)</f>
        <v>26.123561107029147</v>
      </c>
      <c r="K11" s="448">
        <f>G11-C11</f>
        <v>-1667</v>
      </c>
      <c r="L11" s="252">
        <f>K11/C11*100</f>
        <v>-9.3852043688773783</v>
      </c>
      <c r="M11" s="240">
        <f t="shared" ref="M11:M18" si="0">I11-E11</f>
        <v>-953</v>
      </c>
      <c r="N11" s="254">
        <f t="shared" ref="N11:N18" si="1">M11/E11*100</f>
        <v>-10.046384145055871</v>
      </c>
      <c r="O11" s="406"/>
      <c r="P11" s="366">
        <f>SUM(D11-H11)</f>
        <v>1.0328255530445958</v>
      </c>
    </row>
    <row r="12" spans="2:16" x14ac:dyDescent="0.25">
      <c r="B12" s="163" t="s">
        <v>226</v>
      </c>
      <c r="C12" s="149">
        <v>9549</v>
      </c>
      <c r="D12" s="145">
        <f>SUM(C12*100/C8)</f>
        <v>14.114673406944259</v>
      </c>
      <c r="E12" s="150">
        <v>4626</v>
      </c>
      <c r="F12" s="146">
        <f>SUM(E12*100/E8)</f>
        <v>13.339484990916693</v>
      </c>
      <c r="G12" s="149">
        <v>8392</v>
      </c>
      <c r="H12" s="145">
        <f>SUM(G12*100/G8)</f>
        <v>13.1507192779014</v>
      </c>
      <c r="I12" s="150">
        <v>4096</v>
      </c>
      <c r="J12" s="451">
        <f>SUM(I12*100/I8)</f>
        <v>12.539799167278961</v>
      </c>
      <c r="K12" s="449">
        <f t="shared" ref="K12:K18" si="2">G12-C12</f>
        <v>-1157</v>
      </c>
      <c r="L12" s="183">
        <f>K12/C12*100</f>
        <v>-12.116451984500994</v>
      </c>
      <c r="M12" s="107">
        <f t="shared" si="0"/>
        <v>-530</v>
      </c>
      <c r="N12" s="105">
        <f t="shared" si="1"/>
        <v>-11.456982274102897</v>
      </c>
      <c r="O12" s="397"/>
    </row>
    <row r="13" spans="2:16" x14ac:dyDescent="0.25">
      <c r="B13" s="148" t="s">
        <v>228</v>
      </c>
      <c r="C13" s="149">
        <v>37294</v>
      </c>
      <c r="D13" s="145">
        <f>SUM(C13*100/C8)</f>
        <v>55.125419419685748</v>
      </c>
      <c r="E13" s="150">
        <v>20458</v>
      </c>
      <c r="F13" s="146">
        <f>SUM(E13*100/E8)</f>
        <v>58.992473831425357</v>
      </c>
      <c r="G13" s="149">
        <v>35900</v>
      </c>
      <c r="H13" s="145">
        <f>SUM(G13*100/G8)</f>
        <v>56.257247625912811</v>
      </c>
      <c r="I13" s="150">
        <v>19610</v>
      </c>
      <c r="J13" s="451">
        <f>SUM(I13*100/I8)</f>
        <v>60.035513103110461</v>
      </c>
      <c r="K13" s="449">
        <f>G13-C13</f>
        <v>-1394</v>
      </c>
      <c r="L13" s="183">
        <f>K13/C13*100</f>
        <v>-3.7378666809674477</v>
      </c>
      <c r="M13" s="107">
        <f>I13-E13</f>
        <v>-848</v>
      </c>
      <c r="N13" s="105">
        <f>M13/E13*100</f>
        <v>-4.1450777202072544</v>
      </c>
      <c r="O13" s="397"/>
      <c r="P13" s="366">
        <f>SUM(D13-H13)</f>
        <v>-1.1318282062270626</v>
      </c>
    </row>
    <row r="14" spans="2:16" x14ac:dyDescent="0.25">
      <c r="B14" s="148" t="s">
        <v>229</v>
      </c>
      <c r="C14" s="149">
        <v>16741</v>
      </c>
      <c r="D14" s="145">
        <f>SUM(C14*100/C8)</f>
        <v>24.7453919264482</v>
      </c>
      <c r="E14" s="150">
        <v>6167</v>
      </c>
      <c r="F14" s="146">
        <f>SUM(E14*100/E8)</f>
        <v>17.783096398396726</v>
      </c>
      <c r="G14" s="149">
        <v>15721</v>
      </c>
      <c r="H14" s="145">
        <f>SUM(G14*100/G8)</f>
        <v>24.635659886545273</v>
      </c>
      <c r="I14" s="150">
        <v>5812</v>
      </c>
      <c r="J14" s="451">
        <f>SUM(I14*100/I8)</f>
        <v>17.793289248101885</v>
      </c>
      <c r="K14" s="449">
        <f>G14-C14</f>
        <v>-1020</v>
      </c>
      <c r="L14" s="183">
        <f t="shared" ref="L14:L18" si="3">K14/C14*100</f>
        <v>-6.0928259960575835</v>
      </c>
      <c r="M14" s="107">
        <f t="shared" si="0"/>
        <v>-355</v>
      </c>
      <c r="N14" s="105">
        <f t="shared" si="1"/>
        <v>-5.7564455975352677</v>
      </c>
      <c r="O14" s="397"/>
      <c r="P14" s="370">
        <f>SUM(D14-H14)</f>
        <v>0.10973203990292646</v>
      </c>
    </row>
    <row r="15" spans="2:16" x14ac:dyDescent="0.25">
      <c r="B15" s="148" t="s">
        <v>230</v>
      </c>
      <c r="C15" s="149">
        <v>957</v>
      </c>
      <c r="D15" s="145">
        <f>SUM(C15*100/C8)</f>
        <v>1.4145714159017337</v>
      </c>
      <c r="E15" s="150">
        <v>479</v>
      </c>
      <c r="F15" s="146">
        <f>SUM(E15*100/E8)</f>
        <v>1.3812393667637475</v>
      </c>
      <c r="G15" s="149">
        <v>787</v>
      </c>
      <c r="H15" s="253">
        <f>SUM(G15*100/G8)</f>
        <v>1.233271695866111</v>
      </c>
      <c r="I15" s="150">
        <v>415</v>
      </c>
      <c r="J15" s="255">
        <f>SUM(I15*100/I8)</f>
        <v>1.2705118785206955</v>
      </c>
      <c r="K15" s="450">
        <f t="shared" si="2"/>
        <v>-170</v>
      </c>
      <c r="L15" s="253">
        <f t="shared" si="3"/>
        <v>-17.763845350052247</v>
      </c>
      <c r="M15" s="144">
        <f t="shared" si="0"/>
        <v>-64</v>
      </c>
      <c r="N15" s="255">
        <f t="shared" si="1"/>
        <v>-13.361169102296449</v>
      </c>
      <c r="O15" s="406"/>
    </row>
    <row r="16" spans="2:16" ht="15.75" customHeight="1" x14ac:dyDescent="0.25">
      <c r="B16" s="148" t="s">
        <v>231</v>
      </c>
      <c r="C16" s="149">
        <v>11370</v>
      </c>
      <c r="D16" s="145">
        <f>SUM(C16*100/C8)</f>
        <v>16.806350050995523</v>
      </c>
      <c r="E16" s="150">
        <v>9470</v>
      </c>
      <c r="F16" s="146">
        <f>SUM(E16*100/E8)</f>
        <v>27.307592491132961</v>
      </c>
      <c r="G16" s="149">
        <v>10798</v>
      </c>
      <c r="H16" s="253">
        <f>SUM(G16*100/G8)</f>
        <v>16.921051806813551</v>
      </c>
      <c r="I16" s="150">
        <v>8981</v>
      </c>
      <c r="J16" s="255">
        <f>SUM(I16*100/I8)</f>
        <v>27.495101640950281</v>
      </c>
      <c r="K16" s="450">
        <f t="shared" si="2"/>
        <v>-572</v>
      </c>
      <c r="L16" s="253">
        <f t="shared" si="3"/>
        <v>-5.0307827616534739</v>
      </c>
      <c r="M16" s="144">
        <f t="shared" si="0"/>
        <v>-489</v>
      </c>
      <c r="N16" s="255">
        <f t="shared" si="1"/>
        <v>-5.1636747624076031</v>
      </c>
      <c r="O16" s="406"/>
    </row>
    <row r="17" spans="2:16" ht="14.25" customHeight="1" x14ac:dyDescent="0.25">
      <c r="B17" s="148" t="s">
        <v>232</v>
      </c>
      <c r="C17" s="149">
        <v>158</v>
      </c>
      <c r="D17" s="145">
        <f>SUM(C17*100/C8)</f>
        <v>0.2335447060736405</v>
      </c>
      <c r="E17" s="150">
        <v>102</v>
      </c>
      <c r="F17" s="146">
        <f>SUM(E17*100/E8)</f>
        <v>0.29412612820438883</v>
      </c>
      <c r="G17" s="149">
        <v>131</v>
      </c>
      <c r="H17" s="253">
        <f>SUM(G17*100/G8)</f>
        <v>0.20528410693578211</v>
      </c>
      <c r="I17" s="150">
        <v>84</v>
      </c>
      <c r="J17" s="255">
        <f>SUM(I17*100/I8)</f>
        <v>0.25716385011021309</v>
      </c>
      <c r="K17" s="450">
        <f t="shared" si="2"/>
        <v>-27</v>
      </c>
      <c r="L17" s="253">
        <f t="shared" si="3"/>
        <v>-17.088607594936708</v>
      </c>
      <c r="M17" s="144">
        <f t="shared" si="0"/>
        <v>-18</v>
      </c>
      <c r="N17" s="255">
        <f t="shared" si="1"/>
        <v>-17.647058823529413</v>
      </c>
      <c r="O17" s="406"/>
    </row>
    <row r="18" spans="2:16" ht="15.75" thickBot="1" x14ac:dyDescent="0.3">
      <c r="B18" s="154" t="s">
        <v>233</v>
      </c>
      <c r="C18" s="155">
        <v>4617</v>
      </c>
      <c r="D18" s="156">
        <f>SUM(C18*100/C8)</f>
        <v>6.8245310629240388</v>
      </c>
      <c r="E18" s="157">
        <v>2065</v>
      </c>
      <c r="F18" s="251">
        <f>SUM(E18*100/E8)</f>
        <v>5.9546123013927739</v>
      </c>
      <c r="G18" s="155">
        <v>4659</v>
      </c>
      <c r="H18" s="156">
        <f>SUM(G18*100/G8)</f>
        <v>7.3009057573573193</v>
      </c>
      <c r="I18" s="157">
        <v>2045</v>
      </c>
      <c r="J18" s="452">
        <f>SUM(I18*100/I8)</f>
        <v>6.2607151604212588</v>
      </c>
      <c r="K18" s="109">
        <f t="shared" si="2"/>
        <v>42</v>
      </c>
      <c r="L18" s="185">
        <f t="shared" si="3"/>
        <v>0.90968161143599735</v>
      </c>
      <c r="M18" s="110">
        <f t="shared" si="0"/>
        <v>-20</v>
      </c>
      <c r="N18" s="111">
        <f t="shared" si="1"/>
        <v>-0.96852300242130751</v>
      </c>
      <c r="O18" s="397"/>
    </row>
    <row r="19" spans="2:16" x14ac:dyDescent="0.25">
      <c r="B19" s="969" t="s">
        <v>569</v>
      </c>
      <c r="C19" s="159"/>
      <c r="D19" s="160"/>
      <c r="E19" s="159"/>
      <c r="F19" s="160"/>
      <c r="G19" s="159"/>
      <c r="H19" s="160"/>
      <c r="I19" s="159"/>
      <c r="J19" s="160"/>
      <c r="K19" s="970"/>
      <c r="L19" s="397"/>
      <c r="M19" s="970"/>
      <c r="N19" s="397"/>
      <c r="O19" s="397"/>
    </row>
    <row r="20" spans="2:16" x14ac:dyDescent="0.25">
      <c r="B20" s="969" t="s">
        <v>567</v>
      </c>
      <c r="C20" s="159"/>
      <c r="D20" s="160"/>
      <c r="E20" s="159"/>
      <c r="F20" s="160"/>
      <c r="G20" s="159"/>
      <c r="H20" s="160"/>
      <c r="I20" s="159"/>
      <c r="J20" s="160"/>
      <c r="K20" s="970"/>
      <c r="L20" s="397"/>
      <c r="M20" s="970"/>
      <c r="N20" s="397"/>
      <c r="O20" s="397"/>
    </row>
    <row r="21" spans="2:16" ht="14.25" customHeight="1" thickBot="1" x14ac:dyDescent="0.3">
      <c r="B21" s="971" t="s">
        <v>568</v>
      </c>
      <c r="C21" s="159"/>
      <c r="D21" s="160"/>
      <c r="E21" s="159"/>
      <c r="F21" s="160"/>
      <c r="G21" s="159"/>
      <c r="H21" s="161"/>
      <c r="I21" s="159"/>
      <c r="J21" s="161"/>
      <c r="K21" s="161"/>
      <c r="L21" s="161"/>
      <c r="M21" s="161"/>
      <c r="N21" s="161"/>
      <c r="O21" s="161"/>
    </row>
    <row r="22" spans="2:16" ht="17.25" customHeight="1" x14ac:dyDescent="0.25">
      <c r="B22" s="1063" t="s">
        <v>103</v>
      </c>
      <c r="C22" s="1052" t="s">
        <v>423</v>
      </c>
      <c r="D22" s="1053"/>
      <c r="E22" s="1053"/>
      <c r="F22" s="1054"/>
      <c r="G22" s="1059" t="s">
        <v>482</v>
      </c>
      <c r="H22" s="1060"/>
      <c r="I22" s="1060"/>
      <c r="J22" s="1061"/>
      <c r="K22" s="1062" t="s">
        <v>109</v>
      </c>
      <c r="L22" s="1053"/>
      <c r="M22" s="1053"/>
      <c r="N22" s="1054"/>
      <c r="O22" s="357"/>
    </row>
    <row r="23" spans="2:16" ht="17.25" customHeight="1" x14ac:dyDescent="0.25">
      <c r="B23" s="1064"/>
      <c r="C23" s="1049" t="s">
        <v>505</v>
      </c>
      <c r="D23" s="1050"/>
      <c r="E23" s="1050"/>
      <c r="F23" s="1050"/>
      <c r="G23" s="1050"/>
      <c r="H23" s="1050"/>
      <c r="I23" s="1050"/>
      <c r="J23" s="1050"/>
      <c r="K23" s="1050"/>
      <c r="L23" s="1050"/>
      <c r="M23" s="1050"/>
      <c r="N23" s="1051"/>
      <c r="O23" s="357"/>
    </row>
    <row r="24" spans="2:16" x14ac:dyDescent="0.25">
      <c r="B24" s="1064"/>
      <c r="C24" s="1055" t="s">
        <v>4</v>
      </c>
      <c r="D24" s="1056"/>
      <c r="E24" s="1057" t="s">
        <v>94</v>
      </c>
      <c r="F24" s="1058"/>
      <c r="G24" s="1067" t="s">
        <v>4</v>
      </c>
      <c r="H24" s="1068"/>
      <c r="I24" s="1069" t="s">
        <v>94</v>
      </c>
      <c r="J24" s="1070"/>
      <c r="K24" s="1066" t="s">
        <v>4</v>
      </c>
      <c r="L24" s="1056"/>
      <c r="M24" s="1057" t="s">
        <v>94</v>
      </c>
      <c r="N24" s="1058"/>
      <c r="O24" s="407"/>
    </row>
    <row r="25" spans="2:16" ht="15.75" thickBot="1" x14ac:dyDescent="0.3">
      <c r="B25" s="1065"/>
      <c r="C25" s="716" t="s">
        <v>107</v>
      </c>
      <c r="D25" s="715" t="s">
        <v>369</v>
      </c>
      <c r="E25" s="713" t="s">
        <v>107</v>
      </c>
      <c r="F25" s="715" t="s">
        <v>369</v>
      </c>
      <c r="G25" s="907" t="s">
        <v>107</v>
      </c>
      <c r="H25" s="908" t="s">
        <v>369</v>
      </c>
      <c r="I25" s="909" t="s">
        <v>107</v>
      </c>
      <c r="J25" s="910" t="s">
        <v>369</v>
      </c>
      <c r="K25" s="713" t="s">
        <v>107</v>
      </c>
      <c r="L25" s="715" t="s">
        <v>369</v>
      </c>
      <c r="M25" s="713" t="s">
        <v>107</v>
      </c>
      <c r="N25" s="714" t="s">
        <v>369</v>
      </c>
      <c r="O25" s="408"/>
    </row>
    <row r="26" spans="2:16" ht="18.75" x14ac:dyDescent="0.3">
      <c r="B26" s="256" t="s">
        <v>106</v>
      </c>
      <c r="C26" s="257">
        <v>65064</v>
      </c>
      <c r="D26" s="96">
        <v>100</v>
      </c>
      <c r="E26" s="46">
        <v>34104</v>
      </c>
      <c r="F26" s="97">
        <v>100</v>
      </c>
      <c r="G26" s="257">
        <f>SUM(G8)</f>
        <v>63814</v>
      </c>
      <c r="H26" s="96">
        <v>100</v>
      </c>
      <c r="I26" s="46">
        <f>SUM(I8)</f>
        <v>32664</v>
      </c>
      <c r="J26" s="97">
        <v>100</v>
      </c>
      <c r="K26" s="258">
        <f>G26-C26</f>
        <v>-1250</v>
      </c>
      <c r="L26" s="259">
        <f>K26/C26*100</f>
        <v>-1.9211852944792818</v>
      </c>
      <c r="M26" s="260">
        <f>I26-E26</f>
        <v>-1440</v>
      </c>
      <c r="N26" s="261">
        <f>M26/E26*100</f>
        <v>-4.2223786066150595</v>
      </c>
      <c r="O26" s="404"/>
    </row>
    <row r="27" spans="2:16" ht="15.75" thickBot="1" x14ac:dyDescent="0.3">
      <c r="B27" s="249" t="s">
        <v>225</v>
      </c>
      <c r="C27" s="3">
        <v>55884</v>
      </c>
      <c r="D27" s="246" t="s">
        <v>93</v>
      </c>
      <c r="E27" s="5">
        <v>29965</v>
      </c>
      <c r="F27" s="250" t="s">
        <v>93</v>
      </c>
      <c r="G27" s="3">
        <f>SUM(G9)</f>
        <v>54625</v>
      </c>
      <c r="H27" s="246" t="s">
        <v>93</v>
      </c>
      <c r="I27" s="5">
        <f>SUM(I9)</f>
        <v>28603</v>
      </c>
      <c r="J27" s="250" t="s">
        <v>93</v>
      </c>
      <c r="K27" s="109">
        <f>SUM(G27)-C27</f>
        <v>-1259</v>
      </c>
      <c r="L27" s="247">
        <f>K27/C27*100</f>
        <v>-2.2528809677188462</v>
      </c>
      <c r="M27" s="110">
        <f>SUM(I27)-E27</f>
        <v>-1362</v>
      </c>
      <c r="N27" s="248">
        <f>M27/E27*100</f>
        <v>-4.5453028533288835</v>
      </c>
      <c r="O27" s="405"/>
    </row>
    <row r="28" spans="2:16" ht="15.75" thickBot="1" x14ac:dyDescent="0.3">
      <c r="B28" s="706" t="s">
        <v>49</v>
      </c>
      <c r="C28" s="707"/>
      <c r="D28" s="708"/>
      <c r="E28" s="707"/>
      <c r="F28" s="708"/>
      <c r="G28" s="707"/>
      <c r="H28" s="708"/>
      <c r="I28" s="707"/>
      <c r="J28" s="708"/>
      <c r="K28" s="710"/>
      <c r="L28" s="711"/>
      <c r="M28" s="710"/>
      <c r="N28" s="712"/>
      <c r="O28" s="409"/>
    </row>
    <row r="29" spans="2:16" x14ac:dyDescent="0.25">
      <c r="B29" s="238" t="s">
        <v>227</v>
      </c>
      <c r="C29" s="239">
        <v>16211</v>
      </c>
      <c r="D29" s="242">
        <f>SUM(C29*100/C26)</f>
        <v>24.915467847042912</v>
      </c>
      <c r="E29" s="243">
        <v>9027</v>
      </c>
      <c r="F29" s="244">
        <f>SUM(E29*100/E26)</f>
        <v>26.469035890218155</v>
      </c>
      <c r="G29" s="239">
        <f t="shared" ref="G29:G36" si="4">SUM(G11)</f>
        <v>16095</v>
      </c>
      <c r="H29" s="252">
        <f>SUM(G29*100/G26)</f>
        <v>25.221738176575673</v>
      </c>
      <c r="I29" s="241">
        <f t="shared" ref="I29:I36" si="5">SUM(I11)</f>
        <v>8533</v>
      </c>
      <c r="J29" s="252">
        <f>SUM(I29*100/I26)</f>
        <v>26.123561107029147</v>
      </c>
      <c r="K29" s="245">
        <f>G29-C29</f>
        <v>-116</v>
      </c>
      <c r="L29" s="252">
        <f>K29/C29*100</f>
        <v>-0.7155635062611807</v>
      </c>
      <c r="M29" s="240">
        <f t="shared" ref="M29:M36" si="6">I29-E29</f>
        <v>-494</v>
      </c>
      <c r="N29" s="254">
        <f t="shared" ref="N29:N36" si="7">M29/E29*100</f>
        <v>-5.4724714744654923</v>
      </c>
      <c r="O29" s="406"/>
      <c r="P29" s="366">
        <f>SUM(H29-D29)</f>
        <v>0.30627032953276156</v>
      </c>
    </row>
    <row r="30" spans="2:16" x14ac:dyDescent="0.25">
      <c r="B30" s="163" t="s">
        <v>226</v>
      </c>
      <c r="C30" s="149">
        <v>8064</v>
      </c>
      <c r="D30" s="145">
        <f>SUM(C30*100/C26)</f>
        <v>12.393950571744744</v>
      </c>
      <c r="E30" s="151">
        <v>4022</v>
      </c>
      <c r="F30" s="146">
        <f>SUM(E30*100/E26)</f>
        <v>11.793338024865118</v>
      </c>
      <c r="G30" s="149">
        <f t="shared" si="4"/>
        <v>8392</v>
      </c>
      <c r="H30" s="145">
        <f>SUM(G30*100/G26)</f>
        <v>13.1507192779014</v>
      </c>
      <c r="I30" s="150">
        <f t="shared" si="5"/>
        <v>4096</v>
      </c>
      <c r="J30" s="145">
        <f>SUM(I30*100/I26)</f>
        <v>12.539799167278961</v>
      </c>
      <c r="K30" s="106">
        <f t="shared" ref="K30:K36" si="8">G30-C30</f>
        <v>328</v>
      </c>
      <c r="L30" s="183">
        <f>K30/C30*100</f>
        <v>4.0674603174603172</v>
      </c>
      <c r="M30" s="107">
        <f t="shared" si="6"/>
        <v>74</v>
      </c>
      <c r="N30" s="105">
        <f t="shared" si="7"/>
        <v>1.8398806563898558</v>
      </c>
      <c r="O30" s="397"/>
    </row>
    <row r="31" spans="2:16" x14ac:dyDescent="0.25">
      <c r="B31" s="148" t="s">
        <v>228</v>
      </c>
      <c r="C31" s="149">
        <v>37173</v>
      </c>
      <c r="D31" s="145">
        <f>SUM(C31*100/C26)</f>
        <v>57.132976761342675</v>
      </c>
      <c r="E31" s="151">
        <v>20781</v>
      </c>
      <c r="F31" s="146">
        <f>SUM(E31*100/E26)</f>
        <v>60.934201266713579</v>
      </c>
      <c r="G31" s="149">
        <f t="shared" si="4"/>
        <v>35900</v>
      </c>
      <c r="H31" s="145">
        <f>SUM(G31*100/G26)</f>
        <v>56.257247625912811</v>
      </c>
      <c r="I31" s="150">
        <f t="shared" si="5"/>
        <v>19610</v>
      </c>
      <c r="J31" s="145">
        <f>SUM(I31*100/I26)</f>
        <v>60.035513103110461</v>
      </c>
      <c r="K31" s="106">
        <f>G31-C31</f>
        <v>-1273</v>
      </c>
      <c r="L31" s="183">
        <f>K31/C31*100</f>
        <v>-3.4245285556721274</v>
      </c>
      <c r="M31" s="107">
        <f>I31-E31</f>
        <v>-1171</v>
      </c>
      <c r="N31" s="105">
        <f>M31/E31*100</f>
        <v>-5.6349550069775276</v>
      </c>
      <c r="O31" s="397"/>
      <c r="P31" s="366">
        <f>SUM(H31-D31)</f>
        <v>-0.87572913542986441</v>
      </c>
    </row>
    <row r="32" spans="2:16" x14ac:dyDescent="0.25">
      <c r="B32" s="148" t="s">
        <v>229</v>
      </c>
      <c r="C32" s="149">
        <v>16174</v>
      </c>
      <c r="D32" s="145">
        <f>SUM(C32*100/C26)</f>
        <v>24.858600762326326</v>
      </c>
      <c r="E32" s="151">
        <v>5976</v>
      </c>
      <c r="F32" s="146">
        <f>SUM(E32*100/E26)</f>
        <v>17.522871217452497</v>
      </c>
      <c r="G32" s="149">
        <f t="shared" si="4"/>
        <v>15721</v>
      </c>
      <c r="H32" s="145">
        <f>SUM(G32*100/G26)</f>
        <v>24.635659886545273</v>
      </c>
      <c r="I32" s="150">
        <f t="shared" si="5"/>
        <v>5812</v>
      </c>
      <c r="J32" s="145">
        <f>SUM(I32*100/I26)</f>
        <v>17.793289248101885</v>
      </c>
      <c r="K32" s="106">
        <f>G32-C32</f>
        <v>-453</v>
      </c>
      <c r="L32" s="183">
        <f>K32/C32*100</f>
        <v>-2.800791393594658</v>
      </c>
      <c r="M32" s="107">
        <f>I32-E32</f>
        <v>-164</v>
      </c>
      <c r="N32" s="105">
        <f>M32/E32*100</f>
        <v>-2.7443105756358768</v>
      </c>
      <c r="O32" s="397"/>
      <c r="P32" s="366">
        <f>SUM(H32-D32)</f>
        <v>-0.22294087578105248</v>
      </c>
    </row>
    <row r="33" spans="2:16" x14ac:dyDescent="0.25">
      <c r="B33" s="148" t="s">
        <v>230</v>
      </c>
      <c r="C33" s="152">
        <v>863</v>
      </c>
      <c r="D33" s="145">
        <f>SUM(C33*100/C26)</f>
        <v>1.3263863273084961</v>
      </c>
      <c r="E33" s="153">
        <v>478</v>
      </c>
      <c r="F33" s="146">
        <f>SUM(E33*100/E26)</f>
        <v>1.4015951208069435</v>
      </c>
      <c r="G33" s="149">
        <f t="shared" si="4"/>
        <v>787</v>
      </c>
      <c r="H33" s="253">
        <f>SUM(G33*100/G26)</f>
        <v>1.233271695866111</v>
      </c>
      <c r="I33" s="150">
        <f t="shared" si="5"/>
        <v>415</v>
      </c>
      <c r="J33" s="253">
        <f>SUM(I33*100/I26)</f>
        <v>1.2705118785206955</v>
      </c>
      <c r="K33" s="147">
        <f t="shared" si="8"/>
        <v>-76</v>
      </c>
      <c r="L33" s="253">
        <f t="shared" ref="L33:L36" si="9">K33/C33*100</f>
        <v>-8.8064889918887594</v>
      </c>
      <c r="M33" s="144">
        <f t="shared" si="6"/>
        <v>-63</v>
      </c>
      <c r="N33" s="255">
        <f t="shared" si="7"/>
        <v>-13.179916317991633</v>
      </c>
      <c r="O33" s="406"/>
      <c r="P33" s="366"/>
    </row>
    <row r="34" spans="2:16" x14ac:dyDescent="0.25">
      <c r="B34" s="148" t="s">
        <v>231</v>
      </c>
      <c r="C34" s="149">
        <v>11967</v>
      </c>
      <c r="D34" s="145">
        <f>SUM(C34*100/C26)</f>
        <v>18.392659535226855</v>
      </c>
      <c r="E34" s="151">
        <v>10199</v>
      </c>
      <c r="F34" s="146">
        <f>SUM(E34*100/E26)</f>
        <v>29.905582922824301</v>
      </c>
      <c r="G34" s="149">
        <f t="shared" si="4"/>
        <v>10798</v>
      </c>
      <c r="H34" s="253">
        <f>SUM(G34*100/G26)</f>
        <v>16.921051806813551</v>
      </c>
      <c r="I34" s="150">
        <f t="shared" si="5"/>
        <v>8981</v>
      </c>
      <c r="J34" s="253">
        <f>SUM(I34*100/I26)</f>
        <v>27.495101640950281</v>
      </c>
      <c r="K34" s="147">
        <f t="shared" si="8"/>
        <v>-1169</v>
      </c>
      <c r="L34" s="253">
        <f t="shared" si="9"/>
        <v>-9.7685301245090663</v>
      </c>
      <c r="M34" s="144">
        <f t="shared" si="6"/>
        <v>-1218</v>
      </c>
      <c r="N34" s="255">
        <f t="shared" si="7"/>
        <v>-11.942347288949898</v>
      </c>
      <c r="O34" s="406"/>
    </row>
    <row r="35" spans="2:16" ht="17.25" customHeight="1" x14ac:dyDescent="0.25">
      <c r="B35" s="148" t="s">
        <v>232</v>
      </c>
      <c r="C35" s="149">
        <v>111</v>
      </c>
      <c r="D35" s="145">
        <f>SUM(C35*100/C26)</f>
        <v>0.17060125414976024</v>
      </c>
      <c r="E35" s="151">
        <v>78</v>
      </c>
      <c r="F35" s="146">
        <f>SUM(E35*100/E26)</f>
        <v>0.22871217452498241</v>
      </c>
      <c r="G35" s="149">
        <f t="shared" si="4"/>
        <v>131</v>
      </c>
      <c r="H35" s="253">
        <f>SUM(G35*100/G26)</f>
        <v>0.20528410693578211</v>
      </c>
      <c r="I35" s="150">
        <f t="shared" si="5"/>
        <v>84</v>
      </c>
      <c r="J35" s="253">
        <f>SUM(I35*100/I26)</f>
        <v>0.25716385011021309</v>
      </c>
      <c r="K35" s="147">
        <f t="shared" si="8"/>
        <v>20</v>
      </c>
      <c r="L35" s="253">
        <f t="shared" si="9"/>
        <v>18.018018018018019</v>
      </c>
      <c r="M35" s="144">
        <f t="shared" si="6"/>
        <v>6</v>
      </c>
      <c r="N35" s="255">
        <f t="shared" si="7"/>
        <v>7.6923076923076925</v>
      </c>
      <c r="O35" s="406"/>
    </row>
    <row r="36" spans="2:16" ht="15.75" thickBot="1" x14ac:dyDescent="0.3">
      <c r="B36" s="154" t="s">
        <v>233</v>
      </c>
      <c r="C36" s="155">
        <v>4508</v>
      </c>
      <c r="D36" s="156">
        <f>SUM(C36*100/C26)</f>
        <v>6.9285626460100822</v>
      </c>
      <c r="E36" s="158">
        <v>1974</v>
      </c>
      <c r="F36" s="251">
        <f>SUM(E36*100/E26)</f>
        <v>5.7881773399014778</v>
      </c>
      <c r="G36" s="155">
        <f t="shared" si="4"/>
        <v>4659</v>
      </c>
      <c r="H36" s="156">
        <f>SUM(G36*100/G26)</f>
        <v>7.3009057573573193</v>
      </c>
      <c r="I36" s="157">
        <f t="shared" si="5"/>
        <v>2045</v>
      </c>
      <c r="J36" s="156">
        <f>SUM(I36*100/I26)</f>
        <v>6.2607151604212588</v>
      </c>
      <c r="K36" s="108">
        <f t="shared" si="8"/>
        <v>151</v>
      </c>
      <c r="L36" s="185">
        <f t="shared" si="9"/>
        <v>3.3496007098491569</v>
      </c>
      <c r="M36" s="110">
        <f t="shared" si="6"/>
        <v>71</v>
      </c>
      <c r="N36" s="111">
        <f t="shared" si="7"/>
        <v>3.5967578520770012</v>
      </c>
      <c r="O36" s="397"/>
    </row>
  </sheetData>
  <mergeCells count="22">
    <mergeCell ref="B22:B25"/>
    <mergeCell ref="K6:L6"/>
    <mergeCell ref="M6:N6"/>
    <mergeCell ref="B4:B7"/>
    <mergeCell ref="G4:J4"/>
    <mergeCell ref="C4:F4"/>
    <mergeCell ref="K4:N4"/>
    <mergeCell ref="G6:H6"/>
    <mergeCell ref="I6:J6"/>
    <mergeCell ref="C6:D6"/>
    <mergeCell ref="E6:F6"/>
    <mergeCell ref="G24:H24"/>
    <mergeCell ref="I24:J24"/>
    <mergeCell ref="K24:L24"/>
    <mergeCell ref="M24:N24"/>
    <mergeCell ref="C5:N5"/>
    <mergeCell ref="C23:N23"/>
    <mergeCell ref="C22:F22"/>
    <mergeCell ref="C24:D24"/>
    <mergeCell ref="E24:F24"/>
    <mergeCell ref="G22:J22"/>
    <mergeCell ref="K22:N22"/>
  </mergeCells>
  <pageMargins left="0.70866141732283472" right="0.70866141732283472" top="1.3779527559055118" bottom="0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B1:AC35"/>
  <sheetViews>
    <sheetView zoomScale="90" zoomScaleNormal="90" zoomScaleSheetLayoutView="100" workbookViewId="0">
      <selection activeCell="B1" sqref="B1"/>
    </sheetView>
  </sheetViews>
  <sheetFormatPr defaultColWidth="9.140625" defaultRowHeight="15" x14ac:dyDescent="0.25"/>
  <cols>
    <col min="1" max="1" width="3.28515625" style="77" customWidth="1"/>
    <col min="2" max="2" width="23.42578125" style="77" customWidth="1"/>
    <col min="3" max="3" width="9.42578125" style="77" customWidth="1"/>
    <col min="4" max="4" width="9.28515625" style="77" customWidth="1"/>
    <col min="5" max="5" width="8.85546875" style="77" customWidth="1"/>
    <col min="6" max="6" width="9.140625" style="77"/>
    <col min="7" max="7" width="8.42578125" style="77" customWidth="1"/>
    <col min="8" max="8" width="8.28515625" style="77" customWidth="1"/>
    <col min="9" max="10" width="9.28515625" style="77" bestFit="1" customWidth="1"/>
    <col min="11" max="11" width="8" style="77" customWidth="1"/>
    <col min="12" max="13" width="9.140625" style="77"/>
    <col min="14" max="14" width="8.28515625" style="77" customWidth="1"/>
    <col min="15" max="15" width="3.5703125" style="77" customWidth="1"/>
    <col min="16" max="16" width="3.85546875" style="77" customWidth="1"/>
    <col min="17" max="17" width="3.7109375" style="77" customWidth="1"/>
    <col min="18" max="18" width="3" style="77" customWidth="1"/>
    <col min="19" max="19" width="3.85546875" style="77" customWidth="1"/>
    <col min="20" max="20" width="2.28515625" style="77" customWidth="1"/>
    <col min="21" max="21" width="7.7109375" style="77" customWidth="1"/>
    <col min="22" max="24" width="9.140625" style="77"/>
    <col min="25" max="25" width="8.140625" style="77" customWidth="1"/>
    <col min="26" max="16384" width="9.140625" style="77"/>
  </cols>
  <sheetData>
    <row r="1" spans="2:14" x14ac:dyDescent="0.25">
      <c r="B1" s="11" t="s">
        <v>570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2:14" ht="15.75" thickBot="1" x14ac:dyDescent="0.3">
      <c r="B2" s="11" t="s">
        <v>558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4" ht="17.25" customHeight="1" thickBot="1" x14ac:dyDescent="0.3">
      <c r="B3" s="1023" t="s">
        <v>103</v>
      </c>
      <c r="C3" s="988" t="s">
        <v>482</v>
      </c>
      <c r="D3" s="989"/>
      <c r="E3" s="989"/>
      <c r="F3" s="989"/>
      <c r="G3" s="989"/>
      <c r="H3" s="989"/>
      <c r="I3" s="989"/>
      <c r="J3" s="989"/>
      <c r="K3" s="989"/>
      <c r="L3" s="989"/>
      <c r="M3" s="989"/>
      <c r="N3" s="990"/>
    </row>
    <row r="4" spans="2:14" ht="21" customHeight="1" x14ac:dyDescent="0.25">
      <c r="B4" s="1084"/>
      <c r="C4" s="995" t="s">
        <v>106</v>
      </c>
      <c r="D4" s="1021"/>
      <c r="E4" s="996"/>
      <c r="F4" s="995" t="s">
        <v>234</v>
      </c>
      <c r="G4" s="1021"/>
      <c r="H4" s="1021"/>
      <c r="I4" s="1021"/>
      <c r="J4" s="1021"/>
      <c r="K4" s="1021"/>
      <c r="L4" s="1021"/>
      <c r="M4" s="1021"/>
      <c r="N4" s="996"/>
    </row>
    <row r="5" spans="2:14" ht="17.25" customHeight="1" thickBot="1" x14ac:dyDescent="0.3">
      <c r="B5" s="1084"/>
      <c r="C5" s="1085"/>
      <c r="D5" s="1086"/>
      <c r="E5" s="1087"/>
      <c r="F5" s="1074" t="s">
        <v>153</v>
      </c>
      <c r="G5" s="1071"/>
      <c r="H5" s="1071"/>
      <c r="I5" s="1071" t="s">
        <v>95</v>
      </c>
      <c r="J5" s="1071"/>
      <c r="K5" s="1071"/>
      <c r="L5" s="1071" t="s">
        <v>154</v>
      </c>
      <c r="M5" s="1071"/>
      <c r="N5" s="1072"/>
    </row>
    <row r="6" spans="2:14" ht="18" customHeight="1" x14ac:dyDescent="0.25">
      <c r="B6" s="1084"/>
      <c r="C6" s="1073" t="s">
        <v>4</v>
      </c>
      <c r="D6" s="1075" t="s">
        <v>94</v>
      </c>
      <c r="E6" s="1076"/>
      <c r="F6" s="1003" t="s">
        <v>4</v>
      </c>
      <c r="G6" s="1078" t="s">
        <v>94</v>
      </c>
      <c r="H6" s="1078"/>
      <c r="I6" s="1053" t="s">
        <v>4</v>
      </c>
      <c r="J6" s="1078" t="s">
        <v>94</v>
      </c>
      <c r="K6" s="1078"/>
      <c r="L6" s="1079" t="s">
        <v>4</v>
      </c>
      <c r="M6" s="1081" t="s">
        <v>94</v>
      </c>
      <c r="N6" s="1082"/>
    </row>
    <row r="7" spans="2:14" ht="15.75" thickBot="1" x14ac:dyDescent="0.3">
      <c r="B7" s="1036"/>
      <c r="C7" s="1074"/>
      <c r="D7" s="810" t="s">
        <v>107</v>
      </c>
      <c r="E7" s="655" t="s">
        <v>369</v>
      </c>
      <c r="F7" s="1005"/>
      <c r="G7" s="810" t="s">
        <v>107</v>
      </c>
      <c r="H7" s="728" t="s">
        <v>369</v>
      </c>
      <c r="I7" s="1071"/>
      <c r="J7" s="810" t="s">
        <v>107</v>
      </c>
      <c r="K7" s="728" t="s">
        <v>369</v>
      </c>
      <c r="L7" s="1080"/>
      <c r="M7" s="810" t="s">
        <v>107</v>
      </c>
      <c r="N7" s="655" t="s">
        <v>369</v>
      </c>
    </row>
    <row r="8" spans="2:14" ht="26.25" customHeight="1" thickBot="1" x14ac:dyDescent="0.3">
      <c r="B8" s="265" t="s">
        <v>14</v>
      </c>
      <c r="C8" s="266">
        <f>SUM(C9:C33)</f>
        <v>63814</v>
      </c>
      <c r="D8" s="267">
        <f>SUM(D9:D33)</f>
        <v>32664</v>
      </c>
      <c r="E8" s="268">
        <f>D8/C8*100</f>
        <v>51.186260068323563</v>
      </c>
      <c r="F8" s="266">
        <f>SUM(F9:F33)</f>
        <v>16095</v>
      </c>
      <c r="G8" s="267">
        <f>SUM(G9:G33)</f>
        <v>8533</v>
      </c>
      <c r="H8" s="291">
        <f>G8/F8*100</f>
        <v>53.016464740602679</v>
      </c>
      <c r="I8" s="267">
        <f>SUM(I9:I33)</f>
        <v>31998</v>
      </c>
      <c r="J8" s="267">
        <f>SUM(J9:J33)</f>
        <v>18319</v>
      </c>
      <c r="K8" s="291">
        <f>J8/I8*100</f>
        <v>57.250453153322077</v>
      </c>
      <c r="L8" s="267">
        <f>SUM(L9:L33)</f>
        <v>15721</v>
      </c>
      <c r="M8" s="267">
        <f>SUM(M9:M33)</f>
        <v>5812</v>
      </c>
      <c r="N8" s="268">
        <f>M8/L8*100</f>
        <v>36.969658418675657</v>
      </c>
    </row>
    <row r="9" spans="2:14" ht="15.75" thickTop="1" x14ac:dyDescent="0.25">
      <c r="B9" s="174" t="s">
        <v>15</v>
      </c>
      <c r="C9" s="178">
        <v>1031</v>
      </c>
      <c r="D9" s="179">
        <v>481</v>
      </c>
      <c r="E9" s="54">
        <f>D9/C9*100</f>
        <v>46.653734238603299</v>
      </c>
      <c r="F9" s="178">
        <v>267</v>
      </c>
      <c r="G9" s="179">
        <v>139</v>
      </c>
      <c r="H9" s="262">
        <f>G9/F9*100</f>
        <v>52.059925093632963</v>
      </c>
      <c r="I9" s="179">
        <f>SUM(C9)-(F9+L9)</f>
        <v>532</v>
      </c>
      <c r="J9" s="179">
        <f>SUM(D9)-(G9+M9)</f>
        <v>264</v>
      </c>
      <c r="K9" s="262">
        <f>J9/I9*100</f>
        <v>49.624060150375939</v>
      </c>
      <c r="L9" s="179">
        <v>232</v>
      </c>
      <c r="M9" s="179">
        <v>78</v>
      </c>
      <c r="N9" s="54">
        <f t="shared" ref="N9:N33" si="0">M9/L9*100</f>
        <v>33.620689655172413</v>
      </c>
    </row>
    <row r="10" spans="2:14" x14ac:dyDescent="0.25">
      <c r="B10" s="175" t="s">
        <v>16</v>
      </c>
      <c r="C10" s="50">
        <v>3405</v>
      </c>
      <c r="D10" s="9">
        <v>1736</v>
      </c>
      <c r="E10" s="7">
        <f>D10/C10*100</f>
        <v>50.98384728340676</v>
      </c>
      <c r="F10" s="50">
        <v>856</v>
      </c>
      <c r="G10" s="9">
        <v>410</v>
      </c>
      <c r="H10" s="10">
        <f>G10/F10*100</f>
        <v>47.897196261682247</v>
      </c>
      <c r="I10" s="9">
        <f>SUM(C10)-(F10+L10)</f>
        <v>1697</v>
      </c>
      <c r="J10" s="9">
        <f t="shared" ref="J10:J33" si="1">SUM(D10)-(G10+M10)</f>
        <v>955</v>
      </c>
      <c r="K10" s="10">
        <f t="shared" ref="K10:K33" si="2">J10/I10*100</f>
        <v>56.275780789628762</v>
      </c>
      <c r="L10" s="9">
        <v>852</v>
      </c>
      <c r="M10" s="9">
        <v>371</v>
      </c>
      <c r="N10" s="7">
        <f t="shared" si="0"/>
        <v>43.544600938967136</v>
      </c>
    </row>
    <row r="11" spans="2:14" x14ac:dyDescent="0.25">
      <c r="B11" s="175" t="s">
        <v>17</v>
      </c>
      <c r="C11" s="50">
        <v>2260</v>
      </c>
      <c r="D11" s="9">
        <v>1363</v>
      </c>
      <c r="E11" s="7">
        <f t="shared" ref="E11:E33" si="3">D11/C11*100</f>
        <v>60.309734513274336</v>
      </c>
      <c r="F11" s="50">
        <v>652</v>
      </c>
      <c r="G11" s="9">
        <v>419</v>
      </c>
      <c r="H11" s="10">
        <f>G11/F11*100</f>
        <v>64.263803680981596</v>
      </c>
      <c r="I11" s="9">
        <f>SUM(C11)-(F11+L11)</f>
        <v>1075</v>
      </c>
      <c r="J11" s="9">
        <f t="shared" si="1"/>
        <v>730</v>
      </c>
      <c r="K11" s="10">
        <f t="shared" si="2"/>
        <v>67.906976744186039</v>
      </c>
      <c r="L11" s="9">
        <v>533</v>
      </c>
      <c r="M11" s="9">
        <v>214</v>
      </c>
      <c r="N11" s="7">
        <f t="shared" si="0"/>
        <v>40.150093808630395</v>
      </c>
    </row>
    <row r="12" spans="2:14" x14ac:dyDescent="0.25">
      <c r="B12" s="175" t="s">
        <v>18</v>
      </c>
      <c r="C12" s="50">
        <v>4239</v>
      </c>
      <c r="D12" s="9">
        <v>2174</v>
      </c>
      <c r="E12" s="7">
        <f t="shared" si="3"/>
        <v>51.28568058504365</v>
      </c>
      <c r="F12" s="50">
        <v>1044</v>
      </c>
      <c r="G12" s="9">
        <v>566</v>
      </c>
      <c r="H12" s="10">
        <f>G12/F12*100</f>
        <v>54.214559386973185</v>
      </c>
      <c r="I12" s="9">
        <f t="shared" ref="I12:I33" si="4">SUM(C12)-(F12+L12)</f>
        <v>2127</v>
      </c>
      <c r="J12" s="9">
        <f t="shared" si="1"/>
        <v>1235</v>
      </c>
      <c r="K12" s="10">
        <f t="shared" si="2"/>
        <v>58.062999529854253</v>
      </c>
      <c r="L12" s="9">
        <v>1068</v>
      </c>
      <c r="M12" s="9">
        <v>373</v>
      </c>
      <c r="N12" s="7">
        <f t="shared" si="0"/>
        <v>34.925093632958806</v>
      </c>
    </row>
    <row r="13" spans="2:14" x14ac:dyDescent="0.25">
      <c r="B13" s="175" t="s">
        <v>19</v>
      </c>
      <c r="C13" s="50">
        <v>4693</v>
      </c>
      <c r="D13" s="9">
        <v>2729</v>
      </c>
      <c r="E13" s="7">
        <f t="shared" si="3"/>
        <v>58.150436820796934</v>
      </c>
      <c r="F13" s="50">
        <v>1151</v>
      </c>
      <c r="G13" s="9">
        <v>684</v>
      </c>
      <c r="H13" s="10">
        <f t="shared" ref="H13:H31" si="5">G13/F13*100</f>
        <v>59.426585577758473</v>
      </c>
      <c r="I13" s="9">
        <f t="shared" si="4"/>
        <v>2481</v>
      </c>
      <c r="J13" s="9">
        <f t="shared" si="1"/>
        <v>1552</v>
      </c>
      <c r="K13" s="10">
        <f t="shared" si="2"/>
        <v>62.555421201128581</v>
      </c>
      <c r="L13" s="9">
        <v>1061</v>
      </c>
      <c r="M13" s="9">
        <v>493</v>
      </c>
      <c r="N13" s="7">
        <f>M13/L13*100</f>
        <v>46.465598491988693</v>
      </c>
    </row>
    <row r="14" spans="2:14" x14ac:dyDescent="0.25">
      <c r="B14" s="175" t="s">
        <v>20</v>
      </c>
      <c r="C14" s="50">
        <v>1509</v>
      </c>
      <c r="D14" s="9">
        <v>706</v>
      </c>
      <c r="E14" s="7">
        <f t="shared" si="3"/>
        <v>46.78595096090126</v>
      </c>
      <c r="F14" s="50">
        <v>411</v>
      </c>
      <c r="G14" s="9">
        <v>204</v>
      </c>
      <c r="H14" s="10">
        <f t="shared" si="5"/>
        <v>49.635036496350367</v>
      </c>
      <c r="I14" s="9">
        <f t="shared" si="4"/>
        <v>689</v>
      </c>
      <c r="J14" s="9">
        <f t="shared" si="1"/>
        <v>387</v>
      </c>
      <c r="K14" s="10">
        <f>J14/I14*100</f>
        <v>56.168359941944843</v>
      </c>
      <c r="L14" s="9">
        <v>409</v>
      </c>
      <c r="M14" s="9">
        <v>115</v>
      </c>
      <c r="N14" s="7">
        <f t="shared" si="0"/>
        <v>28.117359413202937</v>
      </c>
    </row>
    <row r="15" spans="2:14" x14ac:dyDescent="0.25">
      <c r="B15" s="175" t="s">
        <v>21</v>
      </c>
      <c r="C15" s="50">
        <v>2136</v>
      </c>
      <c r="D15" s="9">
        <v>1161</v>
      </c>
      <c r="E15" s="7">
        <f>D15/C15*100</f>
        <v>54.353932584269657</v>
      </c>
      <c r="F15" s="50">
        <v>527</v>
      </c>
      <c r="G15" s="9">
        <v>326</v>
      </c>
      <c r="H15" s="10">
        <f t="shared" si="5"/>
        <v>61.859582542694504</v>
      </c>
      <c r="I15" s="9">
        <f t="shared" si="4"/>
        <v>1032</v>
      </c>
      <c r="J15" s="9">
        <f t="shared" si="1"/>
        <v>596</v>
      </c>
      <c r="K15" s="10">
        <f t="shared" si="2"/>
        <v>57.751937984496124</v>
      </c>
      <c r="L15" s="9">
        <v>577</v>
      </c>
      <c r="M15" s="9">
        <v>239</v>
      </c>
      <c r="N15" s="7">
        <f>M15/L15*100</f>
        <v>41.421143847487002</v>
      </c>
    </row>
    <row r="16" spans="2:14" x14ac:dyDescent="0.25">
      <c r="B16" s="175" t="s">
        <v>22</v>
      </c>
      <c r="C16" s="50">
        <v>1531</v>
      </c>
      <c r="D16" s="9">
        <v>697</v>
      </c>
      <c r="E16" s="7">
        <f t="shared" si="3"/>
        <v>45.52580013063357</v>
      </c>
      <c r="F16" s="50">
        <v>378</v>
      </c>
      <c r="G16" s="9">
        <v>185</v>
      </c>
      <c r="H16" s="10">
        <f>G16/F16*100</f>
        <v>48.941798941798943</v>
      </c>
      <c r="I16" s="9">
        <f t="shared" si="4"/>
        <v>758</v>
      </c>
      <c r="J16" s="9">
        <f t="shared" si="1"/>
        <v>393</v>
      </c>
      <c r="K16" s="10">
        <f t="shared" si="2"/>
        <v>51.846965699208447</v>
      </c>
      <c r="L16" s="9">
        <v>395</v>
      </c>
      <c r="M16" s="9">
        <v>119</v>
      </c>
      <c r="N16" s="7">
        <f>M16/L16*100</f>
        <v>30.126582278481013</v>
      </c>
    </row>
    <row r="17" spans="2:29" x14ac:dyDescent="0.25">
      <c r="B17" s="175" t="s">
        <v>23</v>
      </c>
      <c r="C17" s="50">
        <v>2809</v>
      </c>
      <c r="D17" s="9">
        <v>1462</v>
      </c>
      <c r="E17" s="7">
        <f t="shared" si="3"/>
        <v>52.046991812032751</v>
      </c>
      <c r="F17" s="50">
        <v>755</v>
      </c>
      <c r="G17" s="9">
        <v>395</v>
      </c>
      <c r="H17" s="10">
        <f t="shared" si="5"/>
        <v>52.317880794701985</v>
      </c>
      <c r="I17" s="9">
        <f t="shared" si="4"/>
        <v>1399</v>
      </c>
      <c r="J17" s="9">
        <f t="shared" si="1"/>
        <v>812</v>
      </c>
      <c r="K17" s="10">
        <f>J17/I17*100</f>
        <v>58.041458184417436</v>
      </c>
      <c r="L17" s="9">
        <v>655</v>
      </c>
      <c r="M17" s="9">
        <v>255</v>
      </c>
      <c r="N17" s="7">
        <f>M17/L17*100</f>
        <v>38.931297709923662</v>
      </c>
      <c r="U17" s="435" t="s">
        <v>522</v>
      </c>
      <c r="V17" s="420"/>
      <c r="W17" s="420"/>
      <c r="X17" s="420"/>
      <c r="Y17" s="420"/>
      <c r="Z17" s="420"/>
      <c r="AA17" s="435" t="s">
        <v>537</v>
      </c>
      <c r="AB17" s="420"/>
      <c r="AC17" s="420"/>
    </row>
    <row r="18" spans="2:29" x14ac:dyDescent="0.25">
      <c r="B18" s="175" t="s">
        <v>24</v>
      </c>
      <c r="C18" s="50">
        <v>1586</v>
      </c>
      <c r="D18" s="9">
        <v>732</v>
      </c>
      <c r="E18" s="7">
        <f t="shared" si="3"/>
        <v>46.153846153846153</v>
      </c>
      <c r="F18" s="50">
        <v>418</v>
      </c>
      <c r="G18" s="9">
        <v>215</v>
      </c>
      <c r="H18" s="10">
        <f t="shared" si="5"/>
        <v>51.435406698564591</v>
      </c>
      <c r="I18" s="9">
        <f t="shared" si="4"/>
        <v>720</v>
      </c>
      <c r="J18" s="9">
        <f t="shared" si="1"/>
        <v>360</v>
      </c>
      <c r="K18" s="10">
        <f t="shared" si="2"/>
        <v>50</v>
      </c>
      <c r="L18" s="9">
        <v>448</v>
      </c>
      <c r="M18" s="9">
        <v>157</v>
      </c>
      <c r="N18" s="7">
        <f>M18/L18*100</f>
        <v>35.044642857142854</v>
      </c>
      <c r="U18" s="436" t="s">
        <v>317</v>
      </c>
      <c r="V18" s="422">
        <f>SUM(F8)</f>
        <v>16095</v>
      </c>
      <c r="W18" s="423">
        <f>SUM(V18/C8)*100</f>
        <v>25.221738176575677</v>
      </c>
      <c r="X18" s="420"/>
      <c r="Y18" s="420"/>
      <c r="Z18" s="420"/>
      <c r="AA18" s="436" t="s">
        <v>317</v>
      </c>
      <c r="AB18" s="422">
        <f>SUM('T.XIV T.XV'!C29)</f>
        <v>16211</v>
      </c>
      <c r="AC18" s="423">
        <f>SUM(AB18/AB21)*100</f>
        <v>24.915467847042912</v>
      </c>
    </row>
    <row r="19" spans="2:29" x14ac:dyDescent="0.25">
      <c r="B19" s="175" t="s">
        <v>25</v>
      </c>
      <c r="C19" s="50">
        <v>2401</v>
      </c>
      <c r="D19" s="9">
        <v>1166</v>
      </c>
      <c r="E19" s="7">
        <f t="shared" si="3"/>
        <v>48.563098708871308</v>
      </c>
      <c r="F19" s="50">
        <v>718</v>
      </c>
      <c r="G19" s="9">
        <v>361</v>
      </c>
      <c r="H19" s="10">
        <f>G19/F19*100</f>
        <v>50.278551532033418</v>
      </c>
      <c r="I19" s="9">
        <f t="shared" si="4"/>
        <v>1145</v>
      </c>
      <c r="J19" s="9">
        <f t="shared" si="1"/>
        <v>630</v>
      </c>
      <c r="K19" s="10">
        <f t="shared" si="2"/>
        <v>55.021834061135365</v>
      </c>
      <c r="L19" s="9">
        <v>538</v>
      </c>
      <c r="M19" s="9">
        <v>175</v>
      </c>
      <c r="N19" s="7">
        <f t="shared" si="0"/>
        <v>32.52788104089219</v>
      </c>
      <c r="U19" s="561" t="s">
        <v>318</v>
      </c>
      <c r="V19" s="562">
        <f>SUM(I8)</f>
        <v>31998</v>
      </c>
      <c r="W19" s="563">
        <f>SUM(V19/C8)*100</f>
        <v>50.142601936879046</v>
      </c>
      <c r="X19" s="420"/>
      <c r="Y19" s="420"/>
      <c r="Z19" s="420"/>
      <c r="AA19" s="561" t="s">
        <v>318</v>
      </c>
      <c r="AB19" s="562">
        <f>SUM(AB22-AB18-AB20)</f>
        <v>32679</v>
      </c>
      <c r="AC19" s="563">
        <f>SUM(AB19/AB21)*100</f>
        <v>50.225931390630763</v>
      </c>
    </row>
    <row r="20" spans="2:29" x14ac:dyDescent="0.25">
      <c r="B20" s="175" t="s">
        <v>26</v>
      </c>
      <c r="C20" s="50">
        <v>2872</v>
      </c>
      <c r="D20" s="9">
        <v>1418</v>
      </c>
      <c r="E20" s="7">
        <f t="shared" si="3"/>
        <v>49.373259052924787</v>
      </c>
      <c r="F20" s="50">
        <v>717</v>
      </c>
      <c r="G20" s="9">
        <v>394</v>
      </c>
      <c r="H20" s="10">
        <f t="shared" si="5"/>
        <v>54.951185495118551</v>
      </c>
      <c r="I20" s="9">
        <f t="shared" si="4"/>
        <v>1449</v>
      </c>
      <c r="J20" s="9">
        <f t="shared" si="1"/>
        <v>791</v>
      </c>
      <c r="K20" s="10">
        <f t="shared" si="2"/>
        <v>54.589371980676326</v>
      </c>
      <c r="L20" s="9">
        <v>706</v>
      </c>
      <c r="M20" s="9">
        <v>233</v>
      </c>
      <c r="N20" s="7">
        <f t="shared" si="0"/>
        <v>33.002832861189802</v>
      </c>
      <c r="U20" s="436" t="s">
        <v>319</v>
      </c>
      <c r="V20" s="422">
        <f>SUM(L8)</f>
        <v>15721</v>
      </c>
      <c r="W20" s="423">
        <f>SUM(V20/C8)*100</f>
        <v>24.635659886545273</v>
      </c>
      <c r="X20" s="420"/>
      <c r="Y20" s="420"/>
      <c r="Z20" s="420"/>
      <c r="AA20" s="436" t="s">
        <v>319</v>
      </c>
      <c r="AB20" s="422">
        <f>SUM('T.XIV T.XV'!C32)</f>
        <v>16174</v>
      </c>
      <c r="AC20" s="423">
        <f>SUM(AB20/AB21)*100</f>
        <v>24.858600762326326</v>
      </c>
    </row>
    <row r="21" spans="2:29" x14ac:dyDescent="0.25">
      <c r="B21" s="175" t="s">
        <v>27</v>
      </c>
      <c r="C21" s="50">
        <v>2794</v>
      </c>
      <c r="D21" s="9">
        <v>1409</v>
      </c>
      <c r="E21" s="7">
        <f t="shared" si="3"/>
        <v>50.429491768074442</v>
      </c>
      <c r="F21" s="50">
        <v>709</v>
      </c>
      <c r="G21" s="9">
        <v>340</v>
      </c>
      <c r="H21" s="10">
        <f t="shared" si="5"/>
        <v>47.954866008462623</v>
      </c>
      <c r="I21" s="9">
        <f t="shared" si="4"/>
        <v>1424</v>
      </c>
      <c r="J21" s="9">
        <f t="shared" si="1"/>
        <v>821</v>
      </c>
      <c r="K21" s="10">
        <f t="shared" si="2"/>
        <v>57.65449438202247</v>
      </c>
      <c r="L21" s="9">
        <v>661</v>
      </c>
      <c r="M21" s="9">
        <v>248</v>
      </c>
      <c r="N21" s="7">
        <f t="shared" si="0"/>
        <v>37.518910741301056</v>
      </c>
      <c r="U21" s="421"/>
      <c r="V21" s="422">
        <f>SUM(V18:V20)</f>
        <v>63814</v>
      </c>
      <c r="W21" s="423">
        <f>SUM(W18:W20)</f>
        <v>99.999999999999986</v>
      </c>
      <c r="X21" s="420"/>
      <c r="Y21" s="420"/>
      <c r="Z21" s="420"/>
      <c r="AA21" s="421"/>
      <c r="AB21" s="422">
        <f>SUM(AB18:AB20)</f>
        <v>65064</v>
      </c>
      <c r="AC21" s="423">
        <f>SUM(AC18:AC20)</f>
        <v>100</v>
      </c>
    </row>
    <row r="22" spans="2:29" x14ac:dyDescent="0.25">
      <c r="B22" s="176" t="s">
        <v>28</v>
      </c>
      <c r="C22" s="106">
        <v>2711</v>
      </c>
      <c r="D22" s="107">
        <v>1366</v>
      </c>
      <c r="E22" s="7">
        <f t="shared" si="3"/>
        <v>50.387310955367028</v>
      </c>
      <c r="F22" s="106">
        <v>729</v>
      </c>
      <c r="G22" s="107">
        <v>386</v>
      </c>
      <c r="H22" s="10">
        <f t="shared" si="5"/>
        <v>52.949245541838131</v>
      </c>
      <c r="I22" s="107">
        <f t="shared" si="4"/>
        <v>1308</v>
      </c>
      <c r="J22" s="107">
        <f t="shared" si="1"/>
        <v>748</v>
      </c>
      <c r="K22" s="10">
        <f t="shared" si="2"/>
        <v>57.186544342507652</v>
      </c>
      <c r="L22" s="107">
        <v>674</v>
      </c>
      <c r="M22" s="107">
        <v>232</v>
      </c>
      <c r="N22" s="7">
        <f t="shared" si="0"/>
        <v>34.421364985163208</v>
      </c>
      <c r="U22" s="420"/>
      <c r="V22" s="420"/>
      <c r="W22" s="420"/>
      <c r="X22" s="420"/>
      <c r="Y22" s="420"/>
      <c r="Z22" s="420"/>
      <c r="AA22" s="420"/>
      <c r="AB22" s="963">
        <f>SUM('T.XIV T.XV'!C26)</f>
        <v>65064</v>
      </c>
      <c r="AC22" s="420"/>
    </row>
    <row r="23" spans="2:29" x14ac:dyDescent="0.25">
      <c r="B23" s="176" t="s">
        <v>29</v>
      </c>
      <c r="C23" s="106">
        <v>3161</v>
      </c>
      <c r="D23" s="107">
        <v>1707</v>
      </c>
      <c r="E23" s="7">
        <f t="shared" si="3"/>
        <v>54.00189813350206</v>
      </c>
      <c r="F23" s="106">
        <v>871</v>
      </c>
      <c r="G23" s="107">
        <v>466</v>
      </c>
      <c r="H23" s="10">
        <f>G23/F23*100</f>
        <v>53.501722158438582</v>
      </c>
      <c r="I23" s="107">
        <f t="shared" si="4"/>
        <v>1600</v>
      </c>
      <c r="J23" s="107">
        <f t="shared" si="1"/>
        <v>977</v>
      </c>
      <c r="K23" s="10">
        <f t="shared" si="2"/>
        <v>61.0625</v>
      </c>
      <c r="L23" s="107">
        <v>690</v>
      </c>
      <c r="M23" s="107">
        <v>264</v>
      </c>
      <c r="N23" s="7">
        <f t="shared" si="0"/>
        <v>38.260869565217391</v>
      </c>
    </row>
    <row r="24" spans="2:29" x14ac:dyDescent="0.25">
      <c r="B24" s="176" t="s">
        <v>30</v>
      </c>
      <c r="C24" s="106">
        <v>2556</v>
      </c>
      <c r="D24" s="107">
        <v>1359</v>
      </c>
      <c r="E24" s="7">
        <f t="shared" si="3"/>
        <v>53.16901408450704</v>
      </c>
      <c r="F24" s="106">
        <v>762</v>
      </c>
      <c r="G24" s="107">
        <v>425</v>
      </c>
      <c r="H24" s="10">
        <f t="shared" si="5"/>
        <v>55.774278215223092</v>
      </c>
      <c r="I24" s="107">
        <f t="shared" si="4"/>
        <v>1224</v>
      </c>
      <c r="J24" s="107">
        <f t="shared" si="1"/>
        <v>724</v>
      </c>
      <c r="K24" s="10">
        <f t="shared" si="2"/>
        <v>59.150326797385624</v>
      </c>
      <c r="L24" s="107">
        <v>570</v>
      </c>
      <c r="M24" s="107">
        <v>210</v>
      </c>
      <c r="N24" s="7">
        <f t="shared" si="0"/>
        <v>36.84210526315789</v>
      </c>
    </row>
    <row r="25" spans="2:29" x14ac:dyDescent="0.25">
      <c r="B25" s="176" t="s">
        <v>31</v>
      </c>
      <c r="C25" s="106">
        <v>4423</v>
      </c>
      <c r="D25" s="107">
        <v>2117</v>
      </c>
      <c r="E25" s="7">
        <f t="shared" si="3"/>
        <v>47.863441103323531</v>
      </c>
      <c r="F25" s="106">
        <v>1161</v>
      </c>
      <c r="G25" s="107">
        <v>559</v>
      </c>
      <c r="H25" s="10">
        <f t="shared" si="5"/>
        <v>48.148148148148145</v>
      </c>
      <c r="I25" s="107">
        <f t="shared" si="4"/>
        <v>2206</v>
      </c>
      <c r="J25" s="107">
        <f t="shared" si="1"/>
        <v>1215</v>
      </c>
      <c r="K25" s="10">
        <f t="shared" si="2"/>
        <v>55.077062556663648</v>
      </c>
      <c r="L25" s="107">
        <v>1056</v>
      </c>
      <c r="M25" s="107">
        <v>343</v>
      </c>
      <c r="N25" s="7">
        <f t="shared" si="0"/>
        <v>32.481060606060609</v>
      </c>
    </row>
    <row r="26" spans="2:29" x14ac:dyDescent="0.25">
      <c r="B26" s="176" t="s">
        <v>32</v>
      </c>
      <c r="C26" s="106">
        <v>2659</v>
      </c>
      <c r="D26" s="107">
        <v>1309</v>
      </c>
      <c r="E26" s="7">
        <f t="shared" si="3"/>
        <v>49.229033471229791</v>
      </c>
      <c r="F26" s="106">
        <v>709</v>
      </c>
      <c r="G26" s="107">
        <v>372</v>
      </c>
      <c r="H26" s="10">
        <f>G26/F26*100</f>
        <v>52.468265162200275</v>
      </c>
      <c r="I26" s="107">
        <f t="shared" si="4"/>
        <v>1349</v>
      </c>
      <c r="J26" s="107">
        <f t="shared" si="1"/>
        <v>736</v>
      </c>
      <c r="K26" s="10">
        <f t="shared" si="2"/>
        <v>54.558932542624163</v>
      </c>
      <c r="L26" s="107">
        <v>601</v>
      </c>
      <c r="M26" s="107">
        <v>201</v>
      </c>
      <c r="N26" s="7">
        <f t="shared" si="0"/>
        <v>33.444259567387682</v>
      </c>
    </row>
    <row r="27" spans="2:29" x14ac:dyDescent="0.25">
      <c r="B27" s="176" t="s">
        <v>33</v>
      </c>
      <c r="C27" s="106">
        <v>1860</v>
      </c>
      <c r="D27" s="107">
        <v>965</v>
      </c>
      <c r="E27" s="7">
        <f t="shared" si="3"/>
        <v>51.881720430107528</v>
      </c>
      <c r="F27" s="106">
        <v>497</v>
      </c>
      <c r="G27" s="107">
        <v>284</v>
      </c>
      <c r="H27" s="10">
        <f t="shared" si="5"/>
        <v>57.142857142857139</v>
      </c>
      <c r="I27" s="107">
        <f t="shared" si="4"/>
        <v>877</v>
      </c>
      <c r="J27" s="107">
        <f t="shared" si="1"/>
        <v>502</v>
      </c>
      <c r="K27" s="10">
        <f t="shared" si="2"/>
        <v>57.240592930444699</v>
      </c>
      <c r="L27" s="107">
        <v>486</v>
      </c>
      <c r="M27" s="107">
        <v>179</v>
      </c>
      <c r="N27" s="7">
        <f t="shared" si="0"/>
        <v>36.831275720164605</v>
      </c>
    </row>
    <row r="28" spans="2:29" x14ac:dyDescent="0.25">
      <c r="B28" s="176" t="s">
        <v>34</v>
      </c>
      <c r="C28" s="106">
        <v>3008</v>
      </c>
      <c r="D28" s="107">
        <v>1538</v>
      </c>
      <c r="E28" s="7">
        <f t="shared" si="3"/>
        <v>51.130319148936167</v>
      </c>
      <c r="F28" s="106">
        <v>813</v>
      </c>
      <c r="G28" s="107">
        <v>394</v>
      </c>
      <c r="H28" s="10">
        <f t="shared" si="5"/>
        <v>48.462484624846248</v>
      </c>
      <c r="I28" s="107">
        <f t="shared" si="4"/>
        <v>1511</v>
      </c>
      <c r="J28" s="107">
        <f t="shared" si="1"/>
        <v>888</v>
      </c>
      <c r="K28" s="10">
        <f t="shared" si="2"/>
        <v>58.769027134348114</v>
      </c>
      <c r="L28" s="107">
        <v>684</v>
      </c>
      <c r="M28" s="107">
        <v>256</v>
      </c>
      <c r="N28" s="7">
        <f t="shared" si="0"/>
        <v>37.42690058479532</v>
      </c>
    </row>
    <row r="29" spans="2:29" x14ac:dyDescent="0.25">
      <c r="B29" s="176" t="s">
        <v>35</v>
      </c>
      <c r="C29" s="106">
        <v>1196</v>
      </c>
      <c r="D29" s="107">
        <v>602</v>
      </c>
      <c r="E29" s="7">
        <f t="shared" si="3"/>
        <v>50.334448160535118</v>
      </c>
      <c r="F29" s="106">
        <v>299</v>
      </c>
      <c r="G29" s="107">
        <v>158</v>
      </c>
      <c r="H29" s="10">
        <f t="shared" si="5"/>
        <v>52.842809364548494</v>
      </c>
      <c r="I29" s="107">
        <f t="shared" si="4"/>
        <v>557</v>
      </c>
      <c r="J29" s="107">
        <f t="shared" si="1"/>
        <v>327</v>
      </c>
      <c r="K29" s="10">
        <f t="shared" si="2"/>
        <v>58.707360861759426</v>
      </c>
      <c r="L29" s="107">
        <v>340</v>
      </c>
      <c r="M29" s="107">
        <v>117</v>
      </c>
      <c r="N29" s="7">
        <f t="shared" si="0"/>
        <v>34.411764705882355</v>
      </c>
    </row>
    <row r="30" spans="2:29" x14ac:dyDescent="0.25">
      <c r="B30" s="176" t="s">
        <v>36</v>
      </c>
      <c r="C30" s="106">
        <v>767</v>
      </c>
      <c r="D30" s="107">
        <v>411</v>
      </c>
      <c r="E30" s="7">
        <f t="shared" si="3"/>
        <v>53.585397653194264</v>
      </c>
      <c r="F30" s="106">
        <v>151</v>
      </c>
      <c r="G30" s="107">
        <v>79</v>
      </c>
      <c r="H30" s="10">
        <f>G30/F30*100</f>
        <v>52.317880794701985</v>
      </c>
      <c r="I30" s="107">
        <f t="shared" si="4"/>
        <v>422</v>
      </c>
      <c r="J30" s="107">
        <f t="shared" si="1"/>
        <v>254</v>
      </c>
      <c r="K30" s="10">
        <f t="shared" si="2"/>
        <v>60.189573459715639</v>
      </c>
      <c r="L30" s="107">
        <v>194</v>
      </c>
      <c r="M30" s="107">
        <v>78</v>
      </c>
      <c r="N30" s="7">
        <f t="shared" si="0"/>
        <v>40.206185567010309</v>
      </c>
    </row>
    <row r="31" spans="2:29" x14ac:dyDescent="0.25">
      <c r="B31" s="176" t="s">
        <v>37</v>
      </c>
      <c r="C31" s="106">
        <v>2240</v>
      </c>
      <c r="D31" s="107">
        <v>1079</v>
      </c>
      <c r="E31" s="7">
        <f t="shared" si="3"/>
        <v>48.169642857142861</v>
      </c>
      <c r="F31" s="106">
        <v>405</v>
      </c>
      <c r="G31" s="107">
        <v>202</v>
      </c>
      <c r="H31" s="10">
        <f t="shared" si="5"/>
        <v>49.876543209876544</v>
      </c>
      <c r="I31" s="107">
        <f t="shared" si="4"/>
        <v>1155</v>
      </c>
      <c r="J31" s="107">
        <f t="shared" si="1"/>
        <v>622</v>
      </c>
      <c r="K31" s="10">
        <f t="shared" si="2"/>
        <v>53.852813852813853</v>
      </c>
      <c r="L31" s="107">
        <v>680</v>
      </c>
      <c r="M31" s="107">
        <v>255</v>
      </c>
      <c r="N31" s="7">
        <f t="shared" si="0"/>
        <v>37.5</v>
      </c>
    </row>
    <row r="32" spans="2:29" x14ac:dyDescent="0.25">
      <c r="B32" s="176" t="s">
        <v>38</v>
      </c>
      <c r="C32" s="106">
        <v>4933</v>
      </c>
      <c r="D32" s="107">
        <v>2479</v>
      </c>
      <c r="E32" s="7">
        <f t="shared" si="3"/>
        <v>50.253395499695927</v>
      </c>
      <c r="F32" s="106">
        <v>896</v>
      </c>
      <c r="G32" s="107">
        <v>471</v>
      </c>
      <c r="H32" s="10">
        <f>G32/F32*100</f>
        <v>52.566964285714292</v>
      </c>
      <c r="I32" s="107">
        <f t="shared" si="4"/>
        <v>2718</v>
      </c>
      <c r="J32" s="107">
        <f t="shared" si="1"/>
        <v>1510</v>
      </c>
      <c r="K32" s="10">
        <f t="shared" si="2"/>
        <v>55.555555555555557</v>
      </c>
      <c r="L32" s="107">
        <v>1319</v>
      </c>
      <c r="M32" s="107">
        <v>498</v>
      </c>
      <c r="N32" s="7">
        <f t="shared" si="0"/>
        <v>37.755875663381353</v>
      </c>
    </row>
    <row r="33" spans="2:14" ht="15.75" thickBot="1" x14ac:dyDescent="0.3">
      <c r="B33" s="177" t="s">
        <v>39</v>
      </c>
      <c r="C33" s="108">
        <v>1034</v>
      </c>
      <c r="D33" s="110">
        <v>498</v>
      </c>
      <c r="E33" s="8">
        <f t="shared" si="3"/>
        <v>48.16247582205029</v>
      </c>
      <c r="F33" s="108">
        <v>199</v>
      </c>
      <c r="G33" s="110">
        <v>99</v>
      </c>
      <c r="H33" s="47">
        <f>G33/F33*100</f>
        <v>49.748743718592962</v>
      </c>
      <c r="I33" s="110">
        <f t="shared" si="4"/>
        <v>543</v>
      </c>
      <c r="J33" s="110">
        <f t="shared" si="1"/>
        <v>290</v>
      </c>
      <c r="K33" s="47">
        <f t="shared" si="2"/>
        <v>53.406998158379373</v>
      </c>
      <c r="L33" s="110">
        <v>292</v>
      </c>
      <c r="M33" s="110">
        <v>109</v>
      </c>
      <c r="N33" s="8">
        <f t="shared" si="0"/>
        <v>37.328767123287669</v>
      </c>
    </row>
    <row r="34" spans="2:14" ht="13.5" customHeight="1" x14ac:dyDescent="0.25">
      <c r="B34" s="1083" t="s">
        <v>155</v>
      </c>
      <c r="C34" s="1083"/>
      <c r="D34" s="1083"/>
      <c r="E34" s="1083"/>
      <c r="F34" s="1083"/>
      <c r="G34" s="1083"/>
      <c r="H34" s="1083"/>
      <c r="I34" s="1083"/>
      <c r="J34" s="1083"/>
      <c r="K34" s="1083"/>
      <c r="L34" s="1083"/>
      <c r="M34" s="1083"/>
      <c r="N34" s="1083"/>
    </row>
    <row r="35" spans="2:14" ht="14.25" customHeight="1" x14ac:dyDescent="0.25">
      <c r="B35" s="1077" t="s">
        <v>156</v>
      </c>
      <c r="C35" s="1077"/>
      <c r="D35" s="1077"/>
      <c r="E35" s="1077"/>
      <c r="F35" s="1077"/>
      <c r="G35" s="1077"/>
      <c r="H35" s="1077"/>
      <c r="I35" s="1077"/>
      <c r="J35" s="1077"/>
      <c r="K35" s="1077"/>
      <c r="L35" s="1077"/>
      <c r="M35" s="1077"/>
      <c r="N35" s="1077"/>
    </row>
  </sheetData>
  <mergeCells count="17">
    <mergeCell ref="I5:K5"/>
    <mergeCell ref="L5:N5"/>
    <mergeCell ref="C6:C7"/>
    <mergeCell ref="D6:E6"/>
    <mergeCell ref="F6:F7"/>
    <mergeCell ref="B35:N35"/>
    <mergeCell ref="G6:H6"/>
    <mergeCell ref="I6:I7"/>
    <mergeCell ref="J6:K6"/>
    <mergeCell ref="L6:L7"/>
    <mergeCell ref="M6:N6"/>
    <mergeCell ref="B34:N34"/>
    <mergeCell ref="B3:B7"/>
    <mergeCell ref="C3:N3"/>
    <mergeCell ref="C4:E5"/>
    <mergeCell ref="F4:N4"/>
    <mergeCell ref="F5:H5"/>
  </mergeCells>
  <printOptions horizontalCentered="1" verticalCentered="1"/>
  <pageMargins left="0" right="0" top="1.0236220472440944" bottom="0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  <pageSetUpPr fitToPage="1"/>
  </sheetPr>
  <dimension ref="B1:T69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28515625" style="77" customWidth="1"/>
    <col min="2" max="2" width="23.42578125" style="77" customWidth="1"/>
    <col min="3" max="3" width="15.42578125" style="77" customWidth="1"/>
    <col min="4" max="4" width="15.85546875" style="77" customWidth="1"/>
    <col min="5" max="5" width="14.7109375" style="77" customWidth="1"/>
    <col min="6" max="6" width="14.42578125" style="77" customWidth="1"/>
    <col min="7" max="7" width="15.42578125" style="77" customWidth="1"/>
    <col min="8" max="8" width="15.85546875" style="77" customWidth="1"/>
    <col min="9" max="9" width="15.28515625" style="77" customWidth="1"/>
    <col min="10" max="10" width="14" style="77" customWidth="1"/>
    <col min="11" max="11" width="9.140625" style="77"/>
    <col min="12" max="12" width="10.85546875" style="77" customWidth="1"/>
    <col min="13" max="13" width="11.5703125" style="77" customWidth="1"/>
    <col min="14" max="14" width="10.140625" style="77" customWidth="1"/>
    <col min="15" max="15" width="11.5703125" style="77" customWidth="1"/>
    <col min="16" max="16" width="11.28515625" style="77" customWidth="1"/>
    <col min="17" max="17" width="9.140625" style="77"/>
    <col min="18" max="18" width="11.28515625" style="77" customWidth="1"/>
    <col min="19" max="19" width="10.5703125" style="77" customWidth="1"/>
    <col min="20" max="20" width="9.140625" style="77"/>
    <col min="21" max="21" width="15.28515625" style="77" customWidth="1"/>
    <col min="22" max="22" width="16" style="77" customWidth="1"/>
    <col min="23" max="23" width="14.42578125" style="77" customWidth="1"/>
    <col min="24" max="24" width="15.140625" style="77" customWidth="1"/>
    <col min="25" max="25" width="15.5703125" style="77" customWidth="1"/>
    <col min="26" max="26" width="15.28515625" style="77" customWidth="1"/>
    <col min="27" max="27" width="15.5703125" style="77" customWidth="1"/>
    <col min="28" max="28" width="15.28515625" style="77" customWidth="1"/>
    <col min="29" max="16384" width="9.140625" style="77"/>
  </cols>
  <sheetData>
    <row r="1" spans="2:20" x14ac:dyDescent="0.25">
      <c r="B1" s="11" t="s">
        <v>571</v>
      </c>
      <c r="C1" s="11"/>
      <c r="D1" s="11"/>
      <c r="E1" s="11"/>
      <c r="F1" s="11"/>
      <c r="G1" s="11"/>
      <c r="H1" s="11"/>
    </row>
    <row r="2" spans="2:20" ht="15.75" thickBot="1" x14ac:dyDescent="0.3">
      <c r="B2" s="11" t="s">
        <v>559</v>
      </c>
      <c r="C2" s="11"/>
      <c r="D2" s="11"/>
      <c r="E2" s="11"/>
      <c r="F2" s="11"/>
      <c r="G2" s="11"/>
      <c r="H2" s="11"/>
    </row>
    <row r="3" spans="2:20" ht="17.25" customHeight="1" x14ac:dyDescent="0.25">
      <c r="B3" s="1023" t="s">
        <v>103</v>
      </c>
      <c r="C3" s="694"/>
      <c r="D3" s="695"/>
      <c r="E3" s="695" t="s">
        <v>423</v>
      </c>
      <c r="F3" s="695"/>
      <c r="G3" s="695"/>
      <c r="H3" s="696"/>
      <c r="I3" s="694"/>
      <c r="J3" s="695"/>
      <c r="K3" s="695" t="s">
        <v>481</v>
      </c>
      <c r="L3" s="695"/>
      <c r="M3" s="695"/>
      <c r="N3" s="696"/>
      <c r="O3" s="719"/>
      <c r="P3" s="719"/>
      <c r="Q3" s="719" t="s">
        <v>482</v>
      </c>
      <c r="R3" s="719"/>
      <c r="S3" s="719"/>
      <c r="T3" s="720"/>
    </row>
    <row r="4" spans="2:20" ht="21" customHeight="1" thickBot="1" x14ac:dyDescent="0.3">
      <c r="B4" s="1084"/>
      <c r="C4" s="1103" t="s">
        <v>234</v>
      </c>
      <c r="D4" s="1104"/>
      <c r="E4" s="1104"/>
      <c r="F4" s="1104"/>
      <c r="G4" s="1104"/>
      <c r="H4" s="1105"/>
      <c r="I4" s="1103" t="s">
        <v>234</v>
      </c>
      <c r="J4" s="1104"/>
      <c r="K4" s="1104"/>
      <c r="L4" s="1104"/>
      <c r="M4" s="1104"/>
      <c r="N4" s="1105"/>
      <c r="O4" s="1088" t="s">
        <v>234</v>
      </c>
      <c r="P4" s="1089"/>
      <c r="Q4" s="1089"/>
      <c r="R4" s="1089"/>
      <c r="S4" s="1089"/>
      <c r="T4" s="1090"/>
    </row>
    <row r="5" spans="2:20" ht="17.25" customHeight="1" x14ac:dyDescent="0.25">
      <c r="B5" s="1084"/>
      <c r="C5" s="1003" t="s">
        <v>153</v>
      </c>
      <c r="D5" s="1000"/>
      <c r="E5" s="1010"/>
      <c r="F5" s="1094" t="s">
        <v>154</v>
      </c>
      <c r="G5" s="1095"/>
      <c r="H5" s="1096"/>
      <c r="I5" s="1003" t="s">
        <v>153</v>
      </c>
      <c r="J5" s="1000"/>
      <c r="K5" s="1010"/>
      <c r="L5" s="1094" t="s">
        <v>154</v>
      </c>
      <c r="M5" s="1095"/>
      <c r="N5" s="1096"/>
      <c r="O5" s="1091" t="s">
        <v>153</v>
      </c>
      <c r="P5" s="1092"/>
      <c r="Q5" s="1093"/>
      <c r="R5" s="1094" t="s">
        <v>154</v>
      </c>
      <c r="S5" s="1095"/>
      <c r="T5" s="1096"/>
    </row>
    <row r="6" spans="2:20" ht="18" customHeight="1" x14ac:dyDescent="0.25">
      <c r="B6" s="1084"/>
      <c r="C6" s="1022" t="s">
        <v>4</v>
      </c>
      <c r="D6" s="1106" t="s">
        <v>94</v>
      </c>
      <c r="E6" s="1107"/>
      <c r="F6" s="1108" t="s">
        <v>4</v>
      </c>
      <c r="G6" s="1106" t="s">
        <v>94</v>
      </c>
      <c r="H6" s="1107"/>
      <c r="I6" s="1022" t="s">
        <v>4</v>
      </c>
      <c r="J6" s="1106" t="s">
        <v>94</v>
      </c>
      <c r="K6" s="1107"/>
      <c r="L6" s="1108" t="s">
        <v>4</v>
      </c>
      <c r="M6" s="1106" t="s">
        <v>94</v>
      </c>
      <c r="N6" s="1107"/>
      <c r="O6" s="1097" t="s">
        <v>4</v>
      </c>
      <c r="P6" s="1099" t="s">
        <v>94</v>
      </c>
      <c r="Q6" s="1100"/>
      <c r="R6" s="1101" t="s">
        <v>4</v>
      </c>
      <c r="S6" s="1099" t="s">
        <v>94</v>
      </c>
      <c r="T6" s="1100"/>
    </row>
    <row r="7" spans="2:20" ht="15.75" thickBot="1" x14ac:dyDescent="0.3">
      <c r="B7" s="1036"/>
      <c r="C7" s="1005"/>
      <c r="D7" s="728" t="s">
        <v>107</v>
      </c>
      <c r="E7" s="655" t="s">
        <v>369</v>
      </c>
      <c r="F7" s="1074"/>
      <c r="G7" s="728" t="s">
        <v>107</v>
      </c>
      <c r="H7" s="655" t="s">
        <v>369</v>
      </c>
      <c r="I7" s="1005"/>
      <c r="J7" s="728" t="s">
        <v>107</v>
      </c>
      <c r="K7" s="655" t="s">
        <v>369</v>
      </c>
      <c r="L7" s="1074"/>
      <c r="M7" s="728" t="s">
        <v>107</v>
      </c>
      <c r="N7" s="655" t="s">
        <v>369</v>
      </c>
      <c r="O7" s="1098"/>
      <c r="P7" s="717" t="s">
        <v>107</v>
      </c>
      <c r="Q7" s="718" t="s">
        <v>369</v>
      </c>
      <c r="R7" s="1102"/>
      <c r="S7" s="717" t="s">
        <v>107</v>
      </c>
      <c r="T7" s="718" t="s">
        <v>369</v>
      </c>
    </row>
    <row r="8" spans="2:20" ht="26.25" customHeight="1" thickBot="1" x14ac:dyDescent="0.3">
      <c r="B8" s="265" t="s">
        <v>14</v>
      </c>
      <c r="C8" s="266">
        <f>SUM(C9:C33)</f>
        <v>16211</v>
      </c>
      <c r="D8" s="267">
        <f>SUM(D9:D33)</f>
        <v>9027</v>
      </c>
      <c r="E8" s="268">
        <f>D8/C8*100</f>
        <v>55.684411819135157</v>
      </c>
      <c r="F8" s="266">
        <f>SUM(F9:F33)</f>
        <v>16174</v>
      </c>
      <c r="G8" s="267">
        <f>SUM(G9:G33)</f>
        <v>5976</v>
      </c>
      <c r="H8" s="268">
        <f>G8/F8*100</f>
        <v>36.94818845059973</v>
      </c>
      <c r="I8" s="266">
        <f>SUM(I9:I33)</f>
        <v>17762</v>
      </c>
      <c r="J8" s="267">
        <f>SUM(J9:J33)</f>
        <v>9486</v>
      </c>
      <c r="K8" s="268">
        <f>J8/I8*100</f>
        <v>53.406147956311223</v>
      </c>
      <c r="L8" s="266">
        <f>SUM(L9:L33)</f>
        <v>16741</v>
      </c>
      <c r="M8" s="267">
        <f>SUM(M9:M33)</f>
        <v>6167</v>
      </c>
      <c r="N8" s="268">
        <f>M8/L8*100</f>
        <v>36.837703840869722</v>
      </c>
      <c r="O8" s="266">
        <f>SUM(O9:O33)</f>
        <v>16095</v>
      </c>
      <c r="P8" s="267">
        <f>SUM(P9:P33)</f>
        <v>8533</v>
      </c>
      <c r="Q8" s="268">
        <f>P8/O8*100</f>
        <v>53.016464740602679</v>
      </c>
      <c r="R8" s="266">
        <f>SUM(R9:R33)</f>
        <v>15721</v>
      </c>
      <c r="S8" s="267">
        <f>SUM(S9:S33)</f>
        <v>5812</v>
      </c>
      <c r="T8" s="268">
        <f>S8/R8*100</f>
        <v>36.969658418675657</v>
      </c>
    </row>
    <row r="9" spans="2:20" ht="15.75" thickTop="1" x14ac:dyDescent="0.25">
      <c r="B9" s="174" t="s">
        <v>15</v>
      </c>
      <c r="C9" s="178">
        <v>242</v>
      </c>
      <c r="D9" s="179">
        <v>130</v>
      </c>
      <c r="E9" s="54">
        <f>D9/C9*100</f>
        <v>53.719008264462808</v>
      </c>
      <c r="F9" s="178">
        <v>248</v>
      </c>
      <c r="G9" s="179">
        <v>88</v>
      </c>
      <c r="H9" s="54">
        <f t="shared" ref="H9:H33" si="0">G9/F9*100</f>
        <v>35.483870967741936</v>
      </c>
      <c r="I9" s="178">
        <v>288</v>
      </c>
      <c r="J9" s="179">
        <v>164</v>
      </c>
      <c r="K9" s="54">
        <f>J9/I9*100</f>
        <v>56.944444444444443</v>
      </c>
      <c r="L9" s="178">
        <v>244</v>
      </c>
      <c r="M9" s="179">
        <v>83</v>
      </c>
      <c r="N9" s="54">
        <f t="shared" ref="N9:N12" si="1">M9/L9*100</f>
        <v>34.016393442622949</v>
      </c>
      <c r="O9" s="178">
        <f>SUM(T.XVI!F9)</f>
        <v>267</v>
      </c>
      <c r="P9" s="179">
        <f>SUM(T.XVI!G9)</f>
        <v>139</v>
      </c>
      <c r="Q9" s="54">
        <f>P9/O9*100</f>
        <v>52.059925093632963</v>
      </c>
      <c r="R9" s="178">
        <f>SUM(T.XVI!L9)</f>
        <v>232</v>
      </c>
      <c r="S9" s="179">
        <f>SUM(T.XVI!M9)</f>
        <v>78</v>
      </c>
      <c r="T9" s="54">
        <f t="shared" ref="T9:T12" si="2">S9/R9*100</f>
        <v>33.620689655172413</v>
      </c>
    </row>
    <row r="10" spans="2:20" x14ac:dyDescent="0.25">
      <c r="B10" s="175" t="s">
        <v>16</v>
      </c>
      <c r="C10" s="50">
        <v>888</v>
      </c>
      <c r="D10" s="9">
        <v>452</v>
      </c>
      <c r="E10" s="7">
        <f>D10/C10*100</f>
        <v>50.900900900900901</v>
      </c>
      <c r="F10" s="50">
        <v>906</v>
      </c>
      <c r="G10" s="9">
        <v>387</v>
      </c>
      <c r="H10" s="7">
        <f t="shared" si="0"/>
        <v>42.715231788079471</v>
      </c>
      <c r="I10" s="50">
        <v>1052</v>
      </c>
      <c r="J10" s="9">
        <v>489</v>
      </c>
      <c r="K10" s="7">
        <f>J10/I10*100</f>
        <v>46.482889733840302</v>
      </c>
      <c r="L10" s="50">
        <v>938</v>
      </c>
      <c r="M10" s="9">
        <v>397</v>
      </c>
      <c r="N10" s="7">
        <f t="shared" si="1"/>
        <v>42.324093816631134</v>
      </c>
      <c r="O10" s="50">
        <f>SUM(T.XVI!F10)</f>
        <v>856</v>
      </c>
      <c r="P10" s="9">
        <f>SUM(T.XVI!G10)</f>
        <v>410</v>
      </c>
      <c r="Q10" s="7">
        <f>P10/O10*100</f>
        <v>47.897196261682247</v>
      </c>
      <c r="R10" s="50">
        <f>SUM(T.XVI!L10)</f>
        <v>852</v>
      </c>
      <c r="S10" s="9">
        <f>SUM(T.XVI!M10)</f>
        <v>371</v>
      </c>
      <c r="T10" s="7">
        <f t="shared" si="2"/>
        <v>43.544600938967136</v>
      </c>
    </row>
    <row r="11" spans="2:20" x14ac:dyDescent="0.25">
      <c r="B11" s="175" t="s">
        <v>17</v>
      </c>
      <c r="C11" s="50">
        <v>662</v>
      </c>
      <c r="D11" s="9">
        <v>414</v>
      </c>
      <c r="E11" s="7">
        <f>D11/C11*100</f>
        <v>62.537764350453173</v>
      </c>
      <c r="F11" s="50">
        <v>581</v>
      </c>
      <c r="G11" s="9">
        <v>245</v>
      </c>
      <c r="H11" s="7">
        <f t="shared" si="0"/>
        <v>42.168674698795186</v>
      </c>
      <c r="I11" s="50">
        <v>710</v>
      </c>
      <c r="J11" s="9">
        <v>423</v>
      </c>
      <c r="K11" s="7">
        <f>J11/I11*100</f>
        <v>59.577464788732392</v>
      </c>
      <c r="L11" s="50">
        <v>556</v>
      </c>
      <c r="M11" s="9">
        <v>232</v>
      </c>
      <c r="N11" s="7">
        <f t="shared" si="1"/>
        <v>41.726618705035975</v>
      </c>
      <c r="O11" s="50">
        <f>SUM(T.XVI!F11)</f>
        <v>652</v>
      </c>
      <c r="P11" s="9">
        <f>SUM(T.XVI!G11)</f>
        <v>419</v>
      </c>
      <c r="Q11" s="7">
        <f>P11/O11*100</f>
        <v>64.263803680981596</v>
      </c>
      <c r="R11" s="50">
        <f>SUM(T.XVI!L11)</f>
        <v>533</v>
      </c>
      <c r="S11" s="9">
        <f>SUM(T.XVI!M11)</f>
        <v>214</v>
      </c>
      <c r="T11" s="7">
        <f t="shared" si="2"/>
        <v>40.150093808630395</v>
      </c>
    </row>
    <row r="12" spans="2:20" x14ac:dyDescent="0.25">
      <c r="B12" s="175" t="s">
        <v>18</v>
      </c>
      <c r="C12" s="50">
        <v>1061</v>
      </c>
      <c r="D12" s="9">
        <v>618</v>
      </c>
      <c r="E12" s="7">
        <f>D12/C12*100</f>
        <v>58.246936852026387</v>
      </c>
      <c r="F12" s="50">
        <v>1046</v>
      </c>
      <c r="G12" s="9">
        <v>361</v>
      </c>
      <c r="H12" s="7">
        <f t="shared" si="0"/>
        <v>34.512428298279154</v>
      </c>
      <c r="I12" s="50">
        <v>1142</v>
      </c>
      <c r="J12" s="9">
        <v>636</v>
      </c>
      <c r="K12" s="7">
        <f>J12/I12*100</f>
        <v>55.69176882661997</v>
      </c>
      <c r="L12" s="50">
        <v>1051</v>
      </c>
      <c r="M12" s="9">
        <v>362</v>
      </c>
      <c r="N12" s="7">
        <f t="shared" si="1"/>
        <v>34.443387250237869</v>
      </c>
      <c r="O12" s="50">
        <f>SUM(T.XVI!F12)</f>
        <v>1044</v>
      </c>
      <c r="P12" s="9">
        <f>SUM(T.XVI!G12)</f>
        <v>566</v>
      </c>
      <c r="Q12" s="7">
        <f>P12/O12*100</f>
        <v>54.214559386973185</v>
      </c>
      <c r="R12" s="50">
        <f>SUM(T.XVI!L12)</f>
        <v>1068</v>
      </c>
      <c r="S12" s="9">
        <f>SUM(T.XVI!M12)</f>
        <v>373</v>
      </c>
      <c r="T12" s="7">
        <f t="shared" si="2"/>
        <v>34.925093632958806</v>
      </c>
    </row>
    <row r="13" spans="2:20" x14ac:dyDescent="0.25">
      <c r="B13" s="175" t="s">
        <v>19</v>
      </c>
      <c r="C13" s="50">
        <v>1156</v>
      </c>
      <c r="D13" s="9">
        <v>683</v>
      </c>
      <c r="E13" s="7">
        <f t="shared" ref="E13:E31" si="3">D13/C13*100</f>
        <v>59.083044982698965</v>
      </c>
      <c r="F13" s="50">
        <v>1092</v>
      </c>
      <c r="G13" s="9">
        <v>478</v>
      </c>
      <c r="H13" s="7">
        <f>G13/F13*100</f>
        <v>43.772893772893774</v>
      </c>
      <c r="I13" s="50">
        <v>1349</v>
      </c>
      <c r="J13" s="9">
        <v>761</v>
      </c>
      <c r="K13" s="7">
        <f t="shared" ref="K13:K15" si="4">J13/I13*100</f>
        <v>56.412157153446998</v>
      </c>
      <c r="L13" s="50">
        <v>1160</v>
      </c>
      <c r="M13" s="9">
        <v>513</v>
      </c>
      <c r="N13" s="7">
        <f>M13/L13*100</f>
        <v>44.224137931034484</v>
      </c>
      <c r="O13" s="50">
        <f>SUM(T.XVI!F13)</f>
        <v>1151</v>
      </c>
      <c r="P13" s="9">
        <f>SUM(T.XVI!G13)</f>
        <v>684</v>
      </c>
      <c r="Q13" s="7">
        <f t="shared" ref="Q13:Q15" si="5">P13/O13*100</f>
        <v>59.426585577758473</v>
      </c>
      <c r="R13" s="50">
        <f>SUM(T.XVI!L13)</f>
        <v>1061</v>
      </c>
      <c r="S13" s="9">
        <f>SUM(T.XVI!M13)</f>
        <v>493</v>
      </c>
      <c r="T13" s="7">
        <f>S13/R13*100</f>
        <v>46.465598491988693</v>
      </c>
    </row>
    <row r="14" spans="2:20" x14ac:dyDescent="0.25">
      <c r="B14" s="175" t="s">
        <v>20</v>
      </c>
      <c r="C14" s="50">
        <v>441</v>
      </c>
      <c r="D14" s="9">
        <v>238</v>
      </c>
      <c r="E14" s="7">
        <f t="shared" si="3"/>
        <v>53.968253968253968</v>
      </c>
      <c r="F14" s="50">
        <v>399</v>
      </c>
      <c r="G14" s="9">
        <v>127</v>
      </c>
      <c r="H14" s="7">
        <f t="shared" si="0"/>
        <v>31.829573934837089</v>
      </c>
      <c r="I14" s="50">
        <v>422</v>
      </c>
      <c r="J14" s="9">
        <v>213</v>
      </c>
      <c r="K14" s="7">
        <f t="shared" si="4"/>
        <v>50.473933649289101</v>
      </c>
      <c r="L14" s="50">
        <v>398</v>
      </c>
      <c r="M14" s="9">
        <v>122</v>
      </c>
      <c r="N14" s="7">
        <f t="shared" ref="N14" si="6">M14/L14*100</f>
        <v>30.653266331658291</v>
      </c>
      <c r="O14" s="50">
        <f>SUM(T.XVI!F14)</f>
        <v>411</v>
      </c>
      <c r="P14" s="9">
        <f>SUM(T.XVI!G14)</f>
        <v>204</v>
      </c>
      <c r="Q14" s="7">
        <f t="shared" si="5"/>
        <v>49.635036496350367</v>
      </c>
      <c r="R14" s="50">
        <f>SUM(T.XVI!L14)</f>
        <v>409</v>
      </c>
      <c r="S14" s="9">
        <f>SUM(T.XVI!M14)</f>
        <v>115</v>
      </c>
      <c r="T14" s="7">
        <f t="shared" ref="T14" si="7">S14/R14*100</f>
        <v>28.117359413202937</v>
      </c>
    </row>
    <row r="15" spans="2:20" x14ac:dyDescent="0.25">
      <c r="B15" s="175" t="s">
        <v>21</v>
      </c>
      <c r="C15" s="50">
        <v>511</v>
      </c>
      <c r="D15" s="9">
        <v>301</v>
      </c>
      <c r="E15" s="7">
        <f t="shared" si="3"/>
        <v>58.904109589041099</v>
      </c>
      <c r="F15" s="50">
        <v>558</v>
      </c>
      <c r="G15" s="9">
        <v>217</v>
      </c>
      <c r="H15" s="7">
        <f>G15/F15*100</f>
        <v>38.888888888888893</v>
      </c>
      <c r="I15" s="50">
        <v>621</v>
      </c>
      <c r="J15" s="9">
        <v>362</v>
      </c>
      <c r="K15" s="7">
        <f t="shared" si="4"/>
        <v>58.293075684380035</v>
      </c>
      <c r="L15" s="50">
        <v>581</v>
      </c>
      <c r="M15" s="9">
        <v>230</v>
      </c>
      <c r="N15" s="7">
        <f>M15/L15*100</f>
        <v>39.586919104991395</v>
      </c>
      <c r="O15" s="50">
        <f>SUM(T.XVI!F15)</f>
        <v>527</v>
      </c>
      <c r="P15" s="9">
        <f>SUM(T.XVI!G15)</f>
        <v>326</v>
      </c>
      <c r="Q15" s="7">
        <f t="shared" si="5"/>
        <v>61.859582542694504</v>
      </c>
      <c r="R15" s="50">
        <f>SUM(T.XVI!L15)</f>
        <v>577</v>
      </c>
      <c r="S15" s="9">
        <f>SUM(T.XVI!M15)</f>
        <v>239</v>
      </c>
      <c r="T15" s="7">
        <f>S15/R15*100</f>
        <v>41.421143847487002</v>
      </c>
    </row>
    <row r="16" spans="2:20" x14ac:dyDescent="0.25">
      <c r="B16" s="175" t="s">
        <v>22</v>
      </c>
      <c r="C16" s="50">
        <v>405</v>
      </c>
      <c r="D16" s="9">
        <v>212</v>
      </c>
      <c r="E16" s="7">
        <f>D16/C16*100</f>
        <v>52.345679012345684</v>
      </c>
      <c r="F16" s="50">
        <v>393</v>
      </c>
      <c r="G16" s="9">
        <v>136</v>
      </c>
      <c r="H16" s="7">
        <f>G16/F16*100</f>
        <v>34.605597964376585</v>
      </c>
      <c r="I16" s="50">
        <v>424</v>
      </c>
      <c r="J16" s="9">
        <v>209</v>
      </c>
      <c r="K16" s="7">
        <f>J16/I16*100</f>
        <v>49.29245283018868</v>
      </c>
      <c r="L16" s="50">
        <v>431</v>
      </c>
      <c r="M16" s="9">
        <v>146</v>
      </c>
      <c r="N16" s="7">
        <f>M16/L16*100</f>
        <v>33.874709976798144</v>
      </c>
      <c r="O16" s="50">
        <f>SUM(T.XVI!F16)</f>
        <v>378</v>
      </c>
      <c r="P16" s="9">
        <f>SUM(T.XVI!G16)</f>
        <v>185</v>
      </c>
      <c r="Q16" s="7">
        <f>P16/O16*100</f>
        <v>48.941798941798943</v>
      </c>
      <c r="R16" s="50">
        <f>SUM(T.XVI!L16)</f>
        <v>395</v>
      </c>
      <c r="S16" s="9">
        <f>SUM(T.XVI!M16)</f>
        <v>119</v>
      </c>
      <c r="T16" s="7">
        <f>S16/R16*100</f>
        <v>30.126582278481013</v>
      </c>
    </row>
    <row r="17" spans="2:20" x14ac:dyDescent="0.25">
      <c r="B17" s="175" t="s">
        <v>23</v>
      </c>
      <c r="C17" s="50">
        <v>800</v>
      </c>
      <c r="D17" s="9">
        <v>437</v>
      </c>
      <c r="E17" s="7">
        <f t="shared" si="3"/>
        <v>54.625</v>
      </c>
      <c r="F17" s="50">
        <v>660</v>
      </c>
      <c r="G17" s="9">
        <v>243</v>
      </c>
      <c r="H17" s="7">
        <f>G17/F17*100</f>
        <v>36.818181818181813</v>
      </c>
      <c r="I17" s="50">
        <v>905</v>
      </c>
      <c r="J17" s="9">
        <v>493</v>
      </c>
      <c r="K17" s="7">
        <f t="shared" ref="K17:K18" si="8">J17/I17*100</f>
        <v>54.475138121546962</v>
      </c>
      <c r="L17" s="50">
        <v>739</v>
      </c>
      <c r="M17" s="9">
        <v>276</v>
      </c>
      <c r="N17" s="7">
        <f>M17/L17*100</f>
        <v>37.347767253044658</v>
      </c>
      <c r="O17" s="50">
        <f>SUM(T.XVI!F17)</f>
        <v>755</v>
      </c>
      <c r="P17" s="9">
        <f>SUM(T.XVI!G17)</f>
        <v>395</v>
      </c>
      <c r="Q17" s="7">
        <f t="shared" ref="Q17:Q18" si="9">P17/O17*100</f>
        <v>52.317880794701985</v>
      </c>
      <c r="R17" s="50">
        <f>SUM(T.XVI!L17)</f>
        <v>655</v>
      </c>
      <c r="S17" s="9">
        <f>SUM(T.XVI!M17)</f>
        <v>255</v>
      </c>
      <c r="T17" s="7">
        <f>S17/R17*100</f>
        <v>38.931297709923662</v>
      </c>
    </row>
    <row r="18" spans="2:20" x14ac:dyDescent="0.25">
      <c r="B18" s="175" t="s">
        <v>24</v>
      </c>
      <c r="C18" s="50">
        <v>415</v>
      </c>
      <c r="D18" s="9">
        <v>239</v>
      </c>
      <c r="E18" s="7">
        <f t="shared" si="3"/>
        <v>57.590361445783131</v>
      </c>
      <c r="F18" s="50">
        <v>458</v>
      </c>
      <c r="G18" s="9">
        <v>142</v>
      </c>
      <c r="H18" s="7">
        <f>G18/F18*100</f>
        <v>31.004366812227076</v>
      </c>
      <c r="I18" s="50">
        <v>553</v>
      </c>
      <c r="J18" s="9">
        <v>279</v>
      </c>
      <c r="K18" s="7">
        <f t="shared" si="8"/>
        <v>50.452079566003619</v>
      </c>
      <c r="L18" s="50">
        <v>522</v>
      </c>
      <c r="M18" s="9">
        <v>179</v>
      </c>
      <c r="N18" s="7">
        <f>M18/L18*100</f>
        <v>34.291187739463602</v>
      </c>
      <c r="O18" s="50">
        <f>SUM(T.XVI!F18)</f>
        <v>418</v>
      </c>
      <c r="P18" s="9">
        <f>SUM(T.XVI!G18)</f>
        <v>215</v>
      </c>
      <c r="Q18" s="7">
        <f t="shared" si="9"/>
        <v>51.435406698564591</v>
      </c>
      <c r="R18" s="50">
        <f>SUM(T.XVI!L18)</f>
        <v>448</v>
      </c>
      <c r="S18" s="9">
        <f>SUM(T.XVI!M18)</f>
        <v>157</v>
      </c>
      <c r="T18" s="7">
        <f>S18/R18*100</f>
        <v>35.044642857142854</v>
      </c>
    </row>
    <row r="19" spans="2:20" x14ac:dyDescent="0.25">
      <c r="B19" s="175" t="s">
        <v>25</v>
      </c>
      <c r="C19" s="50">
        <v>684</v>
      </c>
      <c r="D19" s="9">
        <v>350</v>
      </c>
      <c r="E19" s="7">
        <f>D19/C19*100</f>
        <v>51.169590643274852</v>
      </c>
      <c r="F19" s="50">
        <v>562</v>
      </c>
      <c r="G19" s="9">
        <v>185</v>
      </c>
      <c r="H19" s="7">
        <f t="shared" si="0"/>
        <v>32.918149466192169</v>
      </c>
      <c r="I19" s="50">
        <v>728</v>
      </c>
      <c r="J19" s="9">
        <v>347</v>
      </c>
      <c r="K19" s="7">
        <f>J19/I19*100</f>
        <v>47.664835164835168</v>
      </c>
      <c r="L19" s="50">
        <v>596</v>
      </c>
      <c r="M19" s="9">
        <v>192</v>
      </c>
      <c r="N19" s="7">
        <f t="shared" ref="N19:N33" si="10">M19/L19*100</f>
        <v>32.214765100671137</v>
      </c>
      <c r="O19" s="50">
        <f>SUM(T.XVI!F19)</f>
        <v>718</v>
      </c>
      <c r="P19" s="9">
        <f>SUM(T.XVI!G19)</f>
        <v>361</v>
      </c>
      <c r="Q19" s="7">
        <f>P19/O19*100</f>
        <v>50.278551532033418</v>
      </c>
      <c r="R19" s="50">
        <f>SUM(T.XVI!L19)</f>
        <v>538</v>
      </c>
      <c r="S19" s="9">
        <f>SUM(T.XVI!M19)</f>
        <v>175</v>
      </c>
      <c r="T19" s="7">
        <f t="shared" ref="T19:T33" si="11">S19/R19*100</f>
        <v>32.52788104089219</v>
      </c>
    </row>
    <row r="20" spans="2:20" x14ac:dyDescent="0.25">
      <c r="B20" s="175" t="s">
        <v>26</v>
      </c>
      <c r="C20" s="50">
        <v>735</v>
      </c>
      <c r="D20" s="9">
        <v>402</v>
      </c>
      <c r="E20" s="7">
        <f t="shared" si="3"/>
        <v>54.693877551020407</v>
      </c>
      <c r="F20" s="50">
        <v>705</v>
      </c>
      <c r="G20" s="9">
        <v>249</v>
      </c>
      <c r="H20" s="7">
        <f t="shared" si="0"/>
        <v>35.319148936170215</v>
      </c>
      <c r="I20" s="50">
        <v>825</v>
      </c>
      <c r="J20" s="9">
        <v>426</v>
      </c>
      <c r="K20" s="7">
        <f t="shared" ref="K20:K22" si="12">J20/I20*100</f>
        <v>51.636363636363633</v>
      </c>
      <c r="L20" s="50">
        <v>765</v>
      </c>
      <c r="M20" s="9">
        <v>262</v>
      </c>
      <c r="N20" s="7">
        <f t="shared" si="10"/>
        <v>34.248366013071895</v>
      </c>
      <c r="O20" s="50">
        <f>SUM(T.XVI!F20)</f>
        <v>717</v>
      </c>
      <c r="P20" s="9">
        <f>SUM(T.XVI!G20)</f>
        <v>394</v>
      </c>
      <c r="Q20" s="7">
        <f t="shared" ref="Q20:Q22" si="13">P20/O20*100</f>
        <v>54.951185495118551</v>
      </c>
      <c r="R20" s="50">
        <f>SUM(T.XVI!L20)</f>
        <v>706</v>
      </c>
      <c r="S20" s="9">
        <f>SUM(T.XVI!M20)</f>
        <v>233</v>
      </c>
      <c r="T20" s="7">
        <f t="shared" si="11"/>
        <v>33.002832861189802</v>
      </c>
    </row>
    <row r="21" spans="2:20" x14ac:dyDescent="0.25">
      <c r="B21" s="175" t="s">
        <v>27</v>
      </c>
      <c r="C21" s="50">
        <v>784</v>
      </c>
      <c r="D21" s="9">
        <v>422</v>
      </c>
      <c r="E21" s="7">
        <f t="shared" si="3"/>
        <v>53.826530612244895</v>
      </c>
      <c r="F21" s="50">
        <v>738</v>
      </c>
      <c r="G21" s="9">
        <v>280</v>
      </c>
      <c r="H21" s="7">
        <f t="shared" si="0"/>
        <v>37.94037940379404</v>
      </c>
      <c r="I21" s="50">
        <v>828</v>
      </c>
      <c r="J21" s="9">
        <v>424</v>
      </c>
      <c r="K21" s="7">
        <f t="shared" si="12"/>
        <v>51.207729468599041</v>
      </c>
      <c r="L21" s="50">
        <v>717</v>
      </c>
      <c r="M21" s="9">
        <v>267</v>
      </c>
      <c r="N21" s="7">
        <f t="shared" si="10"/>
        <v>37.238493723849366</v>
      </c>
      <c r="O21" s="50">
        <f>SUM(T.XVI!F21)</f>
        <v>709</v>
      </c>
      <c r="P21" s="9">
        <f>SUM(T.XVI!G21)</f>
        <v>340</v>
      </c>
      <c r="Q21" s="7">
        <f t="shared" si="13"/>
        <v>47.954866008462623</v>
      </c>
      <c r="R21" s="50">
        <f>SUM(T.XVI!L21)</f>
        <v>661</v>
      </c>
      <c r="S21" s="9">
        <f>SUM(T.XVI!M21)</f>
        <v>248</v>
      </c>
      <c r="T21" s="7">
        <f t="shared" si="11"/>
        <v>37.518910741301056</v>
      </c>
    </row>
    <row r="22" spans="2:20" x14ac:dyDescent="0.25">
      <c r="B22" s="176" t="s">
        <v>28</v>
      </c>
      <c r="C22" s="106">
        <v>706</v>
      </c>
      <c r="D22" s="107">
        <v>407</v>
      </c>
      <c r="E22" s="7">
        <f t="shared" si="3"/>
        <v>57.648725212464591</v>
      </c>
      <c r="F22" s="106">
        <v>697</v>
      </c>
      <c r="G22" s="107">
        <v>243</v>
      </c>
      <c r="H22" s="7">
        <f t="shared" si="0"/>
        <v>34.863701578192249</v>
      </c>
      <c r="I22" s="106">
        <v>828</v>
      </c>
      <c r="J22" s="107">
        <v>430</v>
      </c>
      <c r="K22" s="7">
        <f t="shared" si="12"/>
        <v>51.932367149758448</v>
      </c>
      <c r="L22" s="106">
        <v>730</v>
      </c>
      <c r="M22" s="107">
        <v>248</v>
      </c>
      <c r="N22" s="7">
        <f t="shared" si="10"/>
        <v>33.972602739726028</v>
      </c>
      <c r="O22" s="106">
        <f>SUM(T.XVI!F22)</f>
        <v>729</v>
      </c>
      <c r="P22" s="107">
        <f>SUM(T.XVI!G22)</f>
        <v>386</v>
      </c>
      <c r="Q22" s="7">
        <f t="shared" si="13"/>
        <v>52.949245541838131</v>
      </c>
      <c r="R22" s="106">
        <f>SUM(T.XVI!L22)</f>
        <v>674</v>
      </c>
      <c r="S22" s="107">
        <f>SUM(T.XVI!M22)</f>
        <v>232</v>
      </c>
      <c r="T22" s="7">
        <f t="shared" si="11"/>
        <v>34.421364985163208</v>
      </c>
    </row>
    <row r="23" spans="2:20" x14ac:dyDescent="0.25">
      <c r="B23" s="176" t="s">
        <v>29</v>
      </c>
      <c r="C23" s="106">
        <v>852</v>
      </c>
      <c r="D23" s="107">
        <v>482</v>
      </c>
      <c r="E23" s="7">
        <f>D23/C23*100</f>
        <v>56.57276995305164</v>
      </c>
      <c r="F23" s="106">
        <v>657</v>
      </c>
      <c r="G23" s="107">
        <v>240</v>
      </c>
      <c r="H23" s="7">
        <f t="shared" si="0"/>
        <v>36.529680365296798</v>
      </c>
      <c r="I23" s="106">
        <v>951</v>
      </c>
      <c r="J23" s="107">
        <v>520</v>
      </c>
      <c r="K23" s="7">
        <f>J23/I23*100</f>
        <v>54.679284963196636</v>
      </c>
      <c r="L23" s="106">
        <v>733</v>
      </c>
      <c r="M23" s="107">
        <v>274</v>
      </c>
      <c r="N23" s="7">
        <f t="shared" si="10"/>
        <v>37.380627557980901</v>
      </c>
      <c r="O23" s="106">
        <f>SUM(T.XVI!F23)</f>
        <v>871</v>
      </c>
      <c r="P23" s="107">
        <f>SUM(T.XVI!G23)</f>
        <v>466</v>
      </c>
      <c r="Q23" s="7">
        <f>P23/O23*100</f>
        <v>53.501722158438582</v>
      </c>
      <c r="R23" s="106">
        <f>SUM(T.XVI!L23)</f>
        <v>690</v>
      </c>
      <c r="S23" s="107">
        <f>SUM(T.XVI!M23)</f>
        <v>264</v>
      </c>
      <c r="T23" s="7">
        <f t="shared" si="11"/>
        <v>38.260869565217391</v>
      </c>
    </row>
    <row r="24" spans="2:20" x14ac:dyDescent="0.25">
      <c r="B24" s="176" t="s">
        <v>30</v>
      </c>
      <c r="C24" s="106">
        <v>746</v>
      </c>
      <c r="D24" s="107">
        <v>424</v>
      </c>
      <c r="E24" s="7">
        <f t="shared" si="3"/>
        <v>56.836461126005368</v>
      </c>
      <c r="F24" s="106">
        <v>567</v>
      </c>
      <c r="G24" s="107">
        <v>208</v>
      </c>
      <c r="H24" s="7">
        <f t="shared" si="0"/>
        <v>36.684303350970012</v>
      </c>
      <c r="I24" s="106">
        <v>742</v>
      </c>
      <c r="J24" s="107">
        <v>425</v>
      </c>
      <c r="K24" s="7">
        <f t="shared" ref="K24:K25" si="14">J24/I24*100</f>
        <v>57.277628032345021</v>
      </c>
      <c r="L24" s="106">
        <v>620</v>
      </c>
      <c r="M24" s="107">
        <v>216</v>
      </c>
      <c r="N24" s="7">
        <f t="shared" si="10"/>
        <v>34.838709677419352</v>
      </c>
      <c r="O24" s="106">
        <f>SUM(T.XVI!F24)</f>
        <v>762</v>
      </c>
      <c r="P24" s="107">
        <f>SUM(T.XVI!G24)</f>
        <v>425</v>
      </c>
      <c r="Q24" s="7">
        <f t="shared" ref="Q24:Q25" si="15">P24/O24*100</f>
        <v>55.774278215223092</v>
      </c>
      <c r="R24" s="106">
        <f>SUM(T.XVI!L24)</f>
        <v>570</v>
      </c>
      <c r="S24" s="107">
        <f>SUM(T.XVI!M24)</f>
        <v>210</v>
      </c>
      <c r="T24" s="7">
        <f t="shared" si="11"/>
        <v>36.84210526315789</v>
      </c>
    </row>
    <row r="25" spans="2:20" x14ac:dyDescent="0.25">
      <c r="B25" s="176" t="s">
        <v>31</v>
      </c>
      <c r="C25" s="106">
        <v>1153</v>
      </c>
      <c r="D25" s="107">
        <v>623</v>
      </c>
      <c r="E25" s="7">
        <f t="shared" si="3"/>
        <v>54.032957502168259</v>
      </c>
      <c r="F25" s="106">
        <v>1130</v>
      </c>
      <c r="G25" s="107">
        <v>356</v>
      </c>
      <c r="H25" s="7">
        <f t="shared" si="0"/>
        <v>31.504424778761063</v>
      </c>
      <c r="I25" s="106">
        <v>1237</v>
      </c>
      <c r="J25" s="107">
        <v>650</v>
      </c>
      <c r="K25" s="7">
        <f t="shared" si="14"/>
        <v>52.546483427647537</v>
      </c>
      <c r="L25" s="106">
        <v>1159</v>
      </c>
      <c r="M25" s="107">
        <v>385</v>
      </c>
      <c r="N25" s="7">
        <f t="shared" si="10"/>
        <v>33.218291630716138</v>
      </c>
      <c r="O25" s="106">
        <f>SUM(T.XVI!F25)</f>
        <v>1161</v>
      </c>
      <c r="P25" s="107">
        <f>SUM(T.XVI!G25)</f>
        <v>559</v>
      </c>
      <c r="Q25" s="7">
        <f t="shared" si="15"/>
        <v>48.148148148148145</v>
      </c>
      <c r="R25" s="106">
        <f>SUM(T.XVI!L25)</f>
        <v>1056</v>
      </c>
      <c r="S25" s="107">
        <f>SUM(T.XVI!M25)</f>
        <v>343</v>
      </c>
      <c r="T25" s="7">
        <f t="shared" si="11"/>
        <v>32.481060606060609</v>
      </c>
    </row>
    <row r="26" spans="2:20" x14ac:dyDescent="0.25">
      <c r="B26" s="176" t="s">
        <v>32</v>
      </c>
      <c r="C26" s="106">
        <v>676</v>
      </c>
      <c r="D26" s="107">
        <v>386</v>
      </c>
      <c r="E26" s="7">
        <f>D26/C26*100</f>
        <v>57.100591715976336</v>
      </c>
      <c r="F26" s="106">
        <v>617</v>
      </c>
      <c r="G26" s="107">
        <v>212</v>
      </c>
      <c r="H26" s="7">
        <f t="shared" si="0"/>
        <v>34.359805510534848</v>
      </c>
      <c r="I26" s="106">
        <v>749</v>
      </c>
      <c r="J26" s="107">
        <v>410</v>
      </c>
      <c r="K26" s="7">
        <f>J26/I26*100</f>
        <v>54.739652870493991</v>
      </c>
      <c r="L26" s="106">
        <v>634</v>
      </c>
      <c r="M26" s="107">
        <v>214</v>
      </c>
      <c r="N26" s="7">
        <f t="shared" si="10"/>
        <v>33.753943217665615</v>
      </c>
      <c r="O26" s="106">
        <f>SUM(T.XVI!F26)</f>
        <v>709</v>
      </c>
      <c r="P26" s="107">
        <f>SUM(T.XVI!G26)</f>
        <v>372</v>
      </c>
      <c r="Q26" s="7">
        <f>P26/O26*100</f>
        <v>52.468265162200275</v>
      </c>
      <c r="R26" s="106">
        <f>SUM(T.XVI!L26)</f>
        <v>601</v>
      </c>
      <c r="S26" s="107">
        <f>SUM(T.XVI!M26)</f>
        <v>201</v>
      </c>
      <c r="T26" s="7">
        <f t="shared" si="11"/>
        <v>33.444259567387682</v>
      </c>
    </row>
    <row r="27" spans="2:20" x14ac:dyDescent="0.25">
      <c r="B27" s="176" t="s">
        <v>33</v>
      </c>
      <c r="C27" s="106">
        <v>485</v>
      </c>
      <c r="D27" s="107">
        <v>289</v>
      </c>
      <c r="E27" s="7">
        <f t="shared" si="3"/>
        <v>59.587628865979383</v>
      </c>
      <c r="F27" s="106">
        <v>488</v>
      </c>
      <c r="G27" s="107">
        <v>193</v>
      </c>
      <c r="H27" s="7">
        <f t="shared" si="0"/>
        <v>39.549180327868854</v>
      </c>
      <c r="I27" s="106">
        <v>530</v>
      </c>
      <c r="J27" s="107">
        <v>324</v>
      </c>
      <c r="K27" s="7">
        <f t="shared" ref="K27:K29" si="16">J27/I27*100</f>
        <v>61.132075471698109</v>
      </c>
      <c r="L27" s="106">
        <v>505</v>
      </c>
      <c r="M27" s="107">
        <v>195</v>
      </c>
      <c r="N27" s="7">
        <f t="shared" si="10"/>
        <v>38.613861386138616</v>
      </c>
      <c r="O27" s="106">
        <f>SUM(T.XVI!F27)</f>
        <v>497</v>
      </c>
      <c r="P27" s="107">
        <f>SUM(T.XVI!G27)</f>
        <v>284</v>
      </c>
      <c r="Q27" s="7">
        <f t="shared" ref="Q27:Q29" si="17">P27/O27*100</f>
        <v>57.142857142857139</v>
      </c>
      <c r="R27" s="106">
        <f>SUM(T.XVI!L27)</f>
        <v>486</v>
      </c>
      <c r="S27" s="107">
        <f>SUM(T.XVI!M27)</f>
        <v>179</v>
      </c>
      <c r="T27" s="7">
        <f t="shared" si="11"/>
        <v>36.831275720164605</v>
      </c>
    </row>
    <row r="28" spans="2:20" x14ac:dyDescent="0.25">
      <c r="B28" s="176" t="s">
        <v>34</v>
      </c>
      <c r="C28" s="106">
        <v>795</v>
      </c>
      <c r="D28" s="107">
        <v>410</v>
      </c>
      <c r="E28" s="7">
        <f t="shared" si="3"/>
        <v>51.572327044025158</v>
      </c>
      <c r="F28" s="106">
        <v>725</v>
      </c>
      <c r="G28" s="107">
        <v>270</v>
      </c>
      <c r="H28" s="7">
        <f t="shared" si="0"/>
        <v>37.241379310344833</v>
      </c>
      <c r="I28" s="106">
        <v>884</v>
      </c>
      <c r="J28" s="107">
        <v>430</v>
      </c>
      <c r="K28" s="7">
        <f t="shared" si="16"/>
        <v>48.642533936651581</v>
      </c>
      <c r="L28" s="106">
        <v>750</v>
      </c>
      <c r="M28" s="107">
        <v>272</v>
      </c>
      <c r="N28" s="7">
        <f t="shared" si="10"/>
        <v>36.266666666666666</v>
      </c>
      <c r="O28" s="106">
        <f>SUM(T.XVI!F28)</f>
        <v>813</v>
      </c>
      <c r="P28" s="107">
        <f>SUM(T.XVI!G28)</f>
        <v>394</v>
      </c>
      <c r="Q28" s="7">
        <f t="shared" si="17"/>
        <v>48.462484624846248</v>
      </c>
      <c r="R28" s="106">
        <f>SUM(T.XVI!L28)</f>
        <v>684</v>
      </c>
      <c r="S28" s="107">
        <f>SUM(T.XVI!M28)</f>
        <v>256</v>
      </c>
      <c r="T28" s="7">
        <f t="shared" si="11"/>
        <v>37.42690058479532</v>
      </c>
    </row>
    <row r="29" spans="2:20" x14ac:dyDescent="0.25">
      <c r="B29" s="176" t="s">
        <v>35</v>
      </c>
      <c r="C29" s="106">
        <v>301</v>
      </c>
      <c r="D29" s="107">
        <v>180</v>
      </c>
      <c r="E29" s="7">
        <f t="shared" si="3"/>
        <v>59.800664451827245</v>
      </c>
      <c r="F29" s="106">
        <v>343</v>
      </c>
      <c r="G29" s="107">
        <v>114</v>
      </c>
      <c r="H29" s="7">
        <f t="shared" si="0"/>
        <v>33.236151603498541</v>
      </c>
      <c r="I29" s="106">
        <v>323</v>
      </c>
      <c r="J29" s="107">
        <v>171</v>
      </c>
      <c r="K29" s="7">
        <f t="shared" si="16"/>
        <v>52.941176470588239</v>
      </c>
      <c r="L29" s="106">
        <v>361</v>
      </c>
      <c r="M29" s="107">
        <v>128</v>
      </c>
      <c r="N29" s="7">
        <f t="shared" si="10"/>
        <v>35.45706371191136</v>
      </c>
      <c r="O29" s="106">
        <f>SUM(T.XVI!F29)</f>
        <v>299</v>
      </c>
      <c r="P29" s="107">
        <f>SUM(T.XVI!G29)</f>
        <v>158</v>
      </c>
      <c r="Q29" s="7">
        <f t="shared" si="17"/>
        <v>52.842809364548494</v>
      </c>
      <c r="R29" s="106">
        <f>SUM(T.XVI!L29)</f>
        <v>340</v>
      </c>
      <c r="S29" s="107">
        <f>SUM(T.XVI!M29)</f>
        <v>117</v>
      </c>
      <c r="T29" s="7">
        <f t="shared" si="11"/>
        <v>34.411764705882355</v>
      </c>
    </row>
    <row r="30" spans="2:20" x14ac:dyDescent="0.25">
      <c r="B30" s="176" t="s">
        <v>36</v>
      </c>
      <c r="C30" s="106">
        <v>123</v>
      </c>
      <c r="D30" s="107">
        <v>68</v>
      </c>
      <c r="E30" s="7">
        <f>D30/C30*100</f>
        <v>55.284552845528459</v>
      </c>
      <c r="F30" s="106">
        <v>175</v>
      </c>
      <c r="G30" s="107">
        <v>73</v>
      </c>
      <c r="H30" s="7">
        <f t="shared" si="0"/>
        <v>41.714285714285715</v>
      </c>
      <c r="I30" s="106">
        <v>151</v>
      </c>
      <c r="J30" s="107">
        <v>83</v>
      </c>
      <c r="K30" s="7">
        <f>J30/I30*100</f>
        <v>54.966887417218544</v>
      </c>
      <c r="L30" s="106">
        <v>190</v>
      </c>
      <c r="M30" s="107">
        <v>71</v>
      </c>
      <c r="N30" s="7">
        <f t="shared" si="10"/>
        <v>37.368421052631575</v>
      </c>
      <c r="O30" s="106">
        <f>SUM(T.XVI!F30)</f>
        <v>151</v>
      </c>
      <c r="P30" s="107">
        <f>SUM(T.XVI!G30)</f>
        <v>79</v>
      </c>
      <c r="Q30" s="7">
        <f>P30/O30*100</f>
        <v>52.317880794701985</v>
      </c>
      <c r="R30" s="106">
        <f>SUM(T.XVI!L30)</f>
        <v>194</v>
      </c>
      <c r="S30" s="107">
        <f>SUM(T.XVI!M30)</f>
        <v>78</v>
      </c>
      <c r="T30" s="7">
        <f t="shared" si="11"/>
        <v>40.206185567010309</v>
      </c>
    </row>
    <row r="31" spans="2:20" x14ac:dyDescent="0.25">
      <c r="B31" s="176" t="s">
        <v>37</v>
      </c>
      <c r="C31" s="106">
        <v>425</v>
      </c>
      <c r="D31" s="107">
        <v>218</v>
      </c>
      <c r="E31" s="7">
        <f t="shared" si="3"/>
        <v>51.294117647058826</v>
      </c>
      <c r="F31" s="106">
        <v>723</v>
      </c>
      <c r="G31" s="107">
        <v>286</v>
      </c>
      <c r="H31" s="7">
        <f t="shared" si="0"/>
        <v>39.557399723374829</v>
      </c>
      <c r="I31" s="106">
        <v>401</v>
      </c>
      <c r="J31" s="107">
        <v>211</v>
      </c>
      <c r="K31" s="7">
        <f t="shared" ref="K31" si="18">J31/I31*100</f>
        <v>52.618453865336654</v>
      </c>
      <c r="L31" s="106">
        <v>715</v>
      </c>
      <c r="M31" s="107">
        <v>276</v>
      </c>
      <c r="N31" s="7">
        <f t="shared" si="10"/>
        <v>38.6013986013986</v>
      </c>
      <c r="O31" s="106">
        <f>SUM(T.XVI!F31)</f>
        <v>405</v>
      </c>
      <c r="P31" s="107">
        <f>SUM(T.XVI!G31)</f>
        <v>202</v>
      </c>
      <c r="Q31" s="7">
        <f t="shared" ref="Q31" si="19">P31/O31*100</f>
        <v>49.876543209876544</v>
      </c>
      <c r="R31" s="106">
        <f>SUM(T.XVI!L31)</f>
        <v>680</v>
      </c>
      <c r="S31" s="107">
        <f>SUM(T.XVI!M31)</f>
        <v>255</v>
      </c>
      <c r="T31" s="7">
        <f t="shared" si="11"/>
        <v>37.5</v>
      </c>
    </row>
    <row r="32" spans="2:20" x14ac:dyDescent="0.25">
      <c r="B32" s="176" t="s">
        <v>38</v>
      </c>
      <c r="C32" s="106">
        <v>970</v>
      </c>
      <c r="D32" s="107">
        <v>532</v>
      </c>
      <c r="E32" s="7">
        <f>D32/C32*100</f>
        <v>54.845360824742272</v>
      </c>
      <c r="F32" s="106">
        <v>1413</v>
      </c>
      <c r="G32" s="107">
        <v>531</v>
      </c>
      <c r="H32" s="7">
        <f t="shared" si="0"/>
        <v>37.579617834394909</v>
      </c>
      <c r="I32" s="106">
        <v>902</v>
      </c>
      <c r="J32" s="107">
        <v>486</v>
      </c>
      <c r="K32" s="7">
        <f>J32/I32*100</f>
        <v>53.880266075388029</v>
      </c>
      <c r="L32" s="106">
        <v>1364</v>
      </c>
      <c r="M32" s="107">
        <v>524</v>
      </c>
      <c r="N32" s="7">
        <f t="shared" si="10"/>
        <v>38.416422287390027</v>
      </c>
      <c r="O32" s="106">
        <f>SUM(T.XVI!F32)</f>
        <v>896</v>
      </c>
      <c r="P32" s="107">
        <f>SUM(T.XVI!G32)</f>
        <v>471</v>
      </c>
      <c r="Q32" s="7">
        <f>P32/O32*100</f>
        <v>52.566964285714292</v>
      </c>
      <c r="R32" s="106">
        <f>SUM(T.XVI!L32)</f>
        <v>1319</v>
      </c>
      <c r="S32" s="107">
        <f>SUM(T.XVI!M32)</f>
        <v>498</v>
      </c>
      <c r="T32" s="7">
        <f t="shared" si="11"/>
        <v>37.755875663381353</v>
      </c>
    </row>
    <row r="33" spans="2:20" ht="15.75" thickBot="1" x14ac:dyDescent="0.3">
      <c r="B33" s="177" t="s">
        <v>39</v>
      </c>
      <c r="C33" s="108">
        <v>195</v>
      </c>
      <c r="D33" s="110">
        <v>110</v>
      </c>
      <c r="E33" s="8">
        <f>D33/C33*100</f>
        <v>56.410256410256409</v>
      </c>
      <c r="F33" s="108">
        <v>293</v>
      </c>
      <c r="G33" s="110">
        <v>112</v>
      </c>
      <c r="H33" s="8">
        <f t="shared" si="0"/>
        <v>38.225255972696246</v>
      </c>
      <c r="I33" s="108">
        <v>217</v>
      </c>
      <c r="J33" s="110">
        <v>120</v>
      </c>
      <c r="K33" s="8">
        <f>J33/I33*100</f>
        <v>55.299539170506918</v>
      </c>
      <c r="L33" s="108">
        <v>282</v>
      </c>
      <c r="M33" s="110">
        <v>103</v>
      </c>
      <c r="N33" s="8">
        <f t="shared" si="10"/>
        <v>36.524822695035461</v>
      </c>
      <c r="O33" s="108">
        <f>SUM(T.XVI!F33)</f>
        <v>199</v>
      </c>
      <c r="P33" s="110">
        <f>SUM(T.XVI!G33)</f>
        <v>99</v>
      </c>
      <c r="Q33" s="8">
        <f>P33/O33*100</f>
        <v>49.748743718592962</v>
      </c>
      <c r="R33" s="108">
        <f>SUM(T.XVI!L33)</f>
        <v>292</v>
      </c>
      <c r="S33" s="110">
        <f>SUM(T.XVI!M33)</f>
        <v>109</v>
      </c>
      <c r="T33" s="8">
        <f t="shared" si="11"/>
        <v>37.328767123287669</v>
      </c>
    </row>
    <row r="34" spans="2:20" ht="13.5" customHeight="1" x14ac:dyDescent="0.25">
      <c r="B34" s="434" t="s">
        <v>155</v>
      </c>
      <c r="C34" s="434"/>
      <c r="D34" s="434"/>
      <c r="E34" s="434"/>
      <c r="F34" s="434"/>
      <c r="G34" s="434"/>
      <c r="H34" s="434"/>
    </row>
    <row r="35" spans="2:20" ht="14.25" customHeight="1" x14ac:dyDescent="0.25">
      <c r="B35" s="437" t="s">
        <v>372</v>
      </c>
      <c r="C35" s="437"/>
      <c r="D35" s="437"/>
      <c r="E35" s="437"/>
      <c r="F35" s="437"/>
      <c r="G35" s="437"/>
      <c r="H35" s="437"/>
      <c r="I35" s="237"/>
      <c r="L35" s="845" t="s">
        <v>524</v>
      </c>
    </row>
    <row r="36" spans="2:20" ht="14.25" customHeight="1" x14ac:dyDescent="0.25">
      <c r="B36" s="410"/>
      <c r="C36" s="410"/>
      <c r="D36" s="410"/>
      <c r="E36" s="410"/>
      <c r="F36" s="410"/>
      <c r="G36" s="410"/>
      <c r="H36" s="410"/>
      <c r="L36" s="846" t="s">
        <v>525</v>
      </c>
    </row>
    <row r="37" spans="2:20" ht="14.25" customHeight="1" x14ac:dyDescent="0.25">
      <c r="B37" s="11" t="s">
        <v>343</v>
      </c>
      <c r="C37" s="410"/>
      <c r="D37" s="410"/>
      <c r="E37" s="410"/>
      <c r="F37" s="410"/>
      <c r="G37" s="410"/>
      <c r="H37" s="410"/>
      <c r="L37" s="846" t="s">
        <v>527</v>
      </c>
    </row>
    <row r="38" spans="2:20" ht="15.75" thickBot="1" x14ac:dyDescent="0.3">
      <c r="B38" s="11" t="s">
        <v>338</v>
      </c>
      <c r="L38" s="846" t="s">
        <v>526</v>
      </c>
    </row>
    <row r="39" spans="2:20" ht="15.75" thickBot="1" x14ac:dyDescent="0.3">
      <c r="B39" s="1023" t="s">
        <v>103</v>
      </c>
      <c r="C39" s="830"/>
      <c r="D39" s="835" t="s">
        <v>322</v>
      </c>
      <c r="E39" s="835"/>
      <c r="F39" s="836"/>
      <c r="G39" s="830"/>
      <c r="H39" s="835" t="s">
        <v>323</v>
      </c>
      <c r="I39" s="835"/>
      <c r="J39" s="836"/>
    </row>
    <row r="40" spans="2:20" x14ac:dyDescent="0.25">
      <c r="B40" s="1084"/>
      <c r="C40" s="823" t="s">
        <v>320</v>
      </c>
      <c r="D40" s="842" t="s">
        <v>109</v>
      </c>
      <c r="E40" s="823" t="s">
        <v>109</v>
      </c>
      <c r="F40" s="721" t="s">
        <v>109</v>
      </c>
      <c r="G40" s="823" t="s">
        <v>320</v>
      </c>
      <c r="H40" s="721" t="s">
        <v>109</v>
      </c>
      <c r="I40" s="823" t="s">
        <v>109</v>
      </c>
      <c r="J40" s="721" t="s">
        <v>109</v>
      </c>
    </row>
    <row r="41" spans="2:20" ht="42" customHeight="1" x14ac:dyDescent="0.25">
      <c r="B41" s="1084"/>
      <c r="C41" s="912" t="s">
        <v>506</v>
      </c>
      <c r="D41" s="722" t="s">
        <v>506</v>
      </c>
      <c r="E41" s="912" t="s">
        <v>507</v>
      </c>
      <c r="F41" s="722" t="s">
        <v>507</v>
      </c>
      <c r="G41" s="912" t="s">
        <v>506</v>
      </c>
      <c r="H41" s="722" t="s">
        <v>506</v>
      </c>
      <c r="I41" s="912" t="s">
        <v>507</v>
      </c>
      <c r="J41" s="722" t="s">
        <v>508</v>
      </c>
    </row>
    <row r="42" spans="2:20" ht="21.75" customHeight="1" x14ac:dyDescent="0.25">
      <c r="B42" s="1084"/>
      <c r="C42" s="912" t="s">
        <v>107</v>
      </c>
      <c r="D42" s="722" t="s">
        <v>321</v>
      </c>
      <c r="E42" s="912" t="s">
        <v>107</v>
      </c>
      <c r="F42" s="722" t="s">
        <v>321</v>
      </c>
      <c r="G42" s="912" t="s">
        <v>107</v>
      </c>
      <c r="H42" s="722" t="s">
        <v>321</v>
      </c>
      <c r="I42" s="912" t="s">
        <v>107</v>
      </c>
      <c r="J42" s="722" t="s">
        <v>321</v>
      </c>
    </row>
    <row r="43" spans="2:20" ht="14.25" customHeight="1" thickBot="1" x14ac:dyDescent="0.3">
      <c r="B43" s="1036"/>
      <c r="C43" s="825"/>
      <c r="D43" s="723"/>
      <c r="E43" s="825"/>
      <c r="F43" s="723"/>
      <c r="G43" s="825"/>
      <c r="H43" s="723"/>
      <c r="I43" s="825"/>
      <c r="J43" s="723"/>
    </row>
    <row r="44" spans="2:20" ht="19.5" thickBot="1" x14ac:dyDescent="0.3">
      <c r="B44" s="265" t="s">
        <v>14</v>
      </c>
      <c r="C44" s="371">
        <f>O8-I8</f>
        <v>-1667</v>
      </c>
      <c r="D44" s="724">
        <f>C44*100/I8</f>
        <v>-9.3852043688773783</v>
      </c>
      <c r="E44" s="371">
        <f>O8-C8</f>
        <v>-116</v>
      </c>
      <c r="F44" s="724">
        <f>E44*100/C8</f>
        <v>-0.7155635062611807</v>
      </c>
      <c r="G44" s="371">
        <f>R8-L8</f>
        <v>-1020</v>
      </c>
      <c r="H44" s="724">
        <f>G44*100/L8</f>
        <v>-6.0928259960575835</v>
      </c>
      <c r="I44" s="371">
        <f>R8-F8</f>
        <v>-453</v>
      </c>
      <c r="J44" s="724">
        <f>I44*100/F8</f>
        <v>-2.800791393594658</v>
      </c>
    </row>
    <row r="45" spans="2:20" ht="15.75" thickTop="1" x14ac:dyDescent="0.25">
      <c r="B45" s="174" t="s">
        <v>15</v>
      </c>
      <c r="C45" s="178">
        <f t="shared" ref="C45:C69" si="20">O9-I9</f>
        <v>-21</v>
      </c>
      <c r="D45" s="725">
        <f t="shared" ref="D45:D69" si="21">C45*100/I9</f>
        <v>-7.291666666666667</v>
      </c>
      <c r="E45" s="178">
        <f t="shared" ref="E45:E69" si="22">O9-C9</f>
        <v>25</v>
      </c>
      <c r="F45" s="725">
        <f t="shared" ref="F45:F69" si="23">E45*100/C9</f>
        <v>10.330578512396695</v>
      </c>
      <c r="G45" s="178">
        <f t="shared" ref="G45:G69" si="24">R9-L9</f>
        <v>-12</v>
      </c>
      <c r="H45" s="725">
        <f t="shared" ref="H45:H69" si="25">G45*100/L9</f>
        <v>-4.918032786885246</v>
      </c>
      <c r="I45" s="178">
        <f t="shared" ref="I45:I69" si="26">R9-F9</f>
        <v>-16</v>
      </c>
      <c r="J45" s="725">
        <f t="shared" ref="J45:J69" si="27">I45*100/F9</f>
        <v>-6.4516129032258061</v>
      </c>
    </row>
    <row r="46" spans="2:20" x14ac:dyDescent="0.25">
      <c r="B46" s="175" t="s">
        <v>16</v>
      </c>
      <c r="C46" s="50">
        <f t="shared" si="20"/>
        <v>-196</v>
      </c>
      <c r="D46" s="726">
        <f t="shared" si="21"/>
        <v>-18.631178707224336</v>
      </c>
      <c r="E46" s="50">
        <f t="shared" si="22"/>
        <v>-32</v>
      </c>
      <c r="F46" s="726">
        <f t="shared" si="23"/>
        <v>-3.6036036036036037</v>
      </c>
      <c r="G46" s="50">
        <f t="shared" si="24"/>
        <v>-86</v>
      </c>
      <c r="H46" s="726">
        <f t="shared" si="25"/>
        <v>-9.1684434968017055</v>
      </c>
      <c r="I46" s="50">
        <f t="shared" si="26"/>
        <v>-54</v>
      </c>
      <c r="J46" s="726">
        <f t="shared" si="27"/>
        <v>-5.9602649006622519</v>
      </c>
    </row>
    <row r="47" spans="2:20" x14ac:dyDescent="0.25">
      <c r="B47" s="175" t="s">
        <v>17</v>
      </c>
      <c r="C47" s="50">
        <f t="shared" si="20"/>
        <v>-58</v>
      </c>
      <c r="D47" s="726">
        <f t="shared" si="21"/>
        <v>-8.169014084507042</v>
      </c>
      <c r="E47" s="50">
        <f t="shared" si="22"/>
        <v>-10</v>
      </c>
      <c r="F47" s="726">
        <f t="shared" si="23"/>
        <v>-1.5105740181268883</v>
      </c>
      <c r="G47" s="50">
        <f t="shared" si="24"/>
        <v>-23</v>
      </c>
      <c r="H47" s="726">
        <f t="shared" si="25"/>
        <v>-4.1366906474820144</v>
      </c>
      <c r="I47" s="50">
        <f t="shared" si="26"/>
        <v>-48</v>
      </c>
      <c r="J47" s="726">
        <f t="shared" si="27"/>
        <v>-8.2616179001721175</v>
      </c>
    </row>
    <row r="48" spans="2:20" x14ac:dyDescent="0.25">
      <c r="B48" s="175" t="s">
        <v>18</v>
      </c>
      <c r="C48" s="50">
        <f t="shared" si="20"/>
        <v>-98</v>
      </c>
      <c r="D48" s="726">
        <f t="shared" si="21"/>
        <v>-8.5814360770577931</v>
      </c>
      <c r="E48" s="50">
        <f t="shared" si="22"/>
        <v>-17</v>
      </c>
      <c r="F48" s="726">
        <f t="shared" si="23"/>
        <v>-1.6022620169651272</v>
      </c>
      <c r="G48" s="50">
        <f t="shared" si="24"/>
        <v>17</v>
      </c>
      <c r="H48" s="726">
        <f t="shared" si="25"/>
        <v>1.6175071360608944</v>
      </c>
      <c r="I48" s="50">
        <f t="shared" si="26"/>
        <v>22</v>
      </c>
      <c r="J48" s="726">
        <f t="shared" si="27"/>
        <v>2.1032504780114722</v>
      </c>
    </row>
    <row r="49" spans="2:10" x14ac:dyDescent="0.25">
      <c r="B49" s="175" t="s">
        <v>19</v>
      </c>
      <c r="C49" s="50">
        <f t="shared" si="20"/>
        <v>-198</v>
      </c>
      <c r="D49" s="726">
        <f t="shared" si="21"/>
        <v>-14.677538917716827</v>
      </c>
      <c r="E49" s="50">
        <f t="shared" si="22"/>
        <v>-5</v>
      </c>
      <c r="F49" s="726">
        <f t="shared" si="23"/>
        <v>-0.43252595155709345</v>
      </c>
      <c r="G49" s="50">
        <f t="shared" si="24"/>
        <v>-99</v>
      </c>
      <c r="H49" s="726">
        <f t="shared" si="25"/>
        <v>-8.5344827586206904</v>
      </c>
      <c r="I49" s="50">
        <f t="shared" si="26"/>
        <v>-31</v>
      </c>
      <c r="J49" s="726">
        <f t="shared" si="27"/>
        <v>-2.838827838827839</v>
      </c>
    </row>
    <row r="50" spans="2:10" x14ac:dyDescent="0.25">
      <c r="B50" s="175" t="s">
        <v>20</v>
      </c>
      <c r="C50" s="50">
        <f t="shared" si="20"/>
        <v>-11</v>
      </c>
      <c r="D50" s="726">
        <f t="shared" si="21"/>
        <v>-2.6066350710900474</v>
      </c>
      <c r="E50" s="50">
        <f t="shared" si="22"/>
        <v>-30</v>
      </c>
      <c r="F50" s="726">
        <f t="shared" si="23"/>
        <v>-6.8027210884353737</v>
      </c>
      <c r="G50" s="50">
        <f t="shared" si="24"/>
        <v>11</v>
      </c>
      <c r="H50" s="726">
        <f t="shared" si="25"/>
        <v>2.7638190954773871</v>
      </c>
      <c r="I50" s="50">
        <f t="shared" si="26"/>
        <v>10</v>
      </c>
      <c r="J50" s="726">
        <f t="shared" si="27"/>
        <v>2.5062656641604009</v>
      </c>
    </row>
    <row r="51" spans="2:10" x14ac:dyDescent="0.25">
      <c r="B51" s="175" t="s">
        <v>21</v>
      </c>
      <c r="C51" s="50">
        <f t="shared" si="20"/>
        <v>-94</v>
      </c>
      <c r="D51" s="726">
        <f t="shared" si="21"/>
        <v>-15.136876006441224</v>
      </c>
      <c r="E51" s="50">
        <f t="shared" si="22"/>
        <v>16</v>
      </c>
      <c r="F51" s="726">
        <f t="shared" si="23"/>
        <v>3.131115459882583</v>
      </c>
      <c r="G51" s="50">
        <f t="shared" si="24"/>
        <v>-4</v>
      </c>
      <c r="H51" s="726">
        <f t="shared" si="25"/>
        <v>-0.68846815834767638</v>
      </c>
      <c r="I51" s="50">
        <f t="shared" si="26"/>
        <v>19</v>
      </c>
      <c r="J51" s="726">
        <f t="shared" si="27"/>
        <v>3.4050179211469533</v>
      </c>
    </row>
    <row r="52" spans="2:10" x14ac:dyDescent="0.25">
      <c r="B52" s="175" t="s">
        <v>22</v>
      </c>
      <c r="C52" s="50">
        <f t="shared" si="20"/>
        <v>-46</v>
      </c>
      <c r="D52" s="726">
        <f t="shared" si="21"/>
        <v>-10.849056603773585</v>
      </c>
      <c r="E52" s="50">
        <f t="shared" si="22"/>
        <v>-27</v>
      </c>
      <c r="F52" s="726">
        <f t="shared" si="23"/>
        <v>-6.666666666666667</v>
      </c>
      <c r="G52" s="50">
        <f t="shared" si="24"/>
        <v>-36</v>
      </c>
      <c r="H52" s="726">
        <f t="shared" si="25"/>
        <v>-8.3526682134570773</v>
      </c>
      <c r="I52" s="50">
        <f t="shared" si="26"/>
        <v>2</v>
      </c>
      <c r="J52" s="726">
        <f t="shared" si="27"/>
        <v>0.5089058524173028</v>
      </c>
    </row>
    <row r="53" spans="2:10" x14ac:dyDescent="0.25">
      <c r="B53" s="175" t="s">
        <v>23</v>
      </c>
      <c r="C53" s="50">
        <f t="shared" si="20"/>
        <v>-150</v>
      </c>
      <c r="D53" s="726">
        <f t="shared" si="21"/>
        <v>-16.574585635359117</v>
      </c>
      <c r="E53" s="50">
        <f t="shared" si="22"/>
        <v>-45</v>
      </c>
      <c r="F53" s="726">
        <f t="shared" si="23"/>
        <v>-5.625</v>
      </c>
      <c r="G53" s="50">
        <f t="shared" si="24"/>
        <v>-84</v>
      </c>
      <c r="H53" s="726">
        <f t="shared" si="25"/>
        <v>-11.366711772665765</v>
      </c>
      <c r="I53" s="50">
        <f t="shared" si="26"/>
        <v>-5</v>
      </c>
      <c r="J53" s="726">
        <f t="shared" si="27"/>
        <v>-0.75757575757575757</v>
      </c>
    </row>
    <row r="54" spans="2:10" x14ac:dyDescent="0.25">
      <c r="B54" s="175" t="s">
        <v>24</v>
      </c>
      <c r="C54" s="50">
        <f t="shared" si="20"/>
        <v>-135</v>
      </c>
      <c r="D54" s="726">
        <f t="shared" si="21"/>
        <v>-24.412296564195298</v>
      </c>
      <c r="E54" s="50">
        <f t="shared" si="22"/>
        <v>3</v>
      </c>
      <c r="F54" s="726">
        <f t="shared" si="23"/>
        <v>0.72289156626506024</v>
      </c>
      <c r="G54" s="50">
        <f t="shared" si="24"/>
        <v>-74</v>
      </c>
      <c r="H54" s="726">
        <f t="shared" si="25"/>
        <v>-14.17624521072797</v>
      </c>
      <c r="I54" s="50">
        <f t="shared" si="26"/>
        <v>-10</v>
      </c>
      <c r="J54" s="726">
        <f t="shared" si="27"/>
        <v>-2.1834061135371181</v>
      </c>
    </row>
    <row r="55" spans="2:10" x14ac:dyDescent="0.25">
      <c r="B55" s="175" t="s">
        <v>25</v>
      </c>
      <c r="C55" s="50">
        <f t="shared" si="20"/>
        <v>-10</v>
      </c>
      <c r="D55" s="726">
        <f t="shared" si="21"/>
        <v>-1.3736263736263736</v>
      </c>
      <c r="E55" s="50">
        <f t="shared" si="22"/>
        <v>34</v>
      </c>
      <c r="F55" s="726">
        <f t="shared" si="23"/>
        <v>4.9707602339181287</v>
      </c>
      <c r="G55" s="50">
        <f t="shared" si="24"/>
        <v>-58</v>
      </c>
      <c r="H55" s="726">
        <f t="shared" si="25"/>
        <v>-9.7315436241610733</v>
      </c>
      <c r="I55" s="50">
        <f t="shared" si="26"/>
        <v>-24</v>
      </c>
      <c r="J55" s="726">
        <f t="shared" si="27"/>
        <v>-4.2704626334519569</v>
      </c>
    </row>
    <row r="56" spans="2:10" x14ac:dyDescent="0.25">
      <c r="B56" s="175" t="s">
        <v>26</v>
      </c>
      <c r="C56" s="50">
        <f t="shared" si="20"/>
        <v>-108</v>
      </c>
      <c r="D56" s="726">
        <f t="shared" si="21"/>
        <v>-13.090909090909092</v>
      </c>
      <c r="E56" s="50">
        <f t="shared" si="22"/>
        <v>-18</v>
      </c>
      <c r="F56" s="726">
        <f t="shared" si="23"/>
        <v>-2.4489795918367347</v>
      </c>
      <c r="G56" s="50">
        <f t="shared" si="24"/>
        <v>-59</v>
      </c>
      <c r="H56" s="726">
        <f t="shared" si="25"/>
        <v>-7.7124183006535949</v>
      </c>
      <c r="I56" s="50">
        <f t="shared" si="26"/>
        <v>1</v>
      </c>
      <c r="J56" s="726">
        <f t="shared" si="27"/>
        <v>0.14184397163120568</v>
      </c>
    </row>
    <row r="57" spans="2:10" x14ac:dyDescent="0.25">
      <c r="B57" s="175" t="s">
        <v>27</v>
      </c>
      <c r="C57" s="50">
        <f t="shared" si="20"/>
        <v>-119</v>
      </c>
      <c r="D57" s="726">
        <f t="shared" si="21"/>
        <v>-14.371980676328503</v>
      </c>
      <c r="E57" s="50">
        <f t="shared" si="22"/>
        <v>-75</v>
      </c>
      <c r="F57" s="726">
        <f t="shared" si="23"/>
        <v>-9.566326530612244</v>
      </c>
      <c r="G57" s="50">
        <f t="shared" si="24"/>
        <v>-56</v>
      </c>
      <c r="H57" s="726">
        <f t="shared" si="25"/>
        <v>-7.8103207810320781</v>
      </c>
      <c r="I57" s="50">
        <f t="shared" si="26"/>
        <v>-77</v>
      </c>
      <c r="J57" s="726">
        <f t="shared" si="27"/>
        <v>-10.433604336043361</v>
      </c>
    </row>
    <row r="58" spans="2:10" x14ac:dyDescent="0.25">
      <c r="B58" s="176" t="s">
        <v>28</v>
      </c>
      <c r="C58" s="50">
        <f t="shared" si="20"/>
        <v>-99</v>
      </c>
      <c r="D58" s="726">
        <f t="shared" si="21"/>
        <v>-11.956521739130435</v>
      </c>
      <c r="E58" s="50">
        <f t="shared" si="22"/>
        <v>23</v>
      </c>
      <c r="F58" s="726">
        <f t="shared" si="23"/>
        <v>3.2577903682719547</v>
      </c>
      <c r="G58" s="50">
        <f t="shared" si="24"/>
        <v>-56</v>
      </c>
      <c r="H58" s="726">
        <f t="shared" si="25"/>
        <v>-7.6712328767123283</v>
      </c>
      <c r="I58" s="50">
        <f t="shared" si="26"/>
        <v>-23</v>
      </c>
      <c r="J58" s="726">
        <f t="shared" si="27"/>
        <v>-3.2998565279770444</v>
      </c>
    </row>
    <row r="59" spans="2:10" x14ac:dyDescent="0.25">
      <c r="B59" s="176" t="s">
        <v>29</v>
      </c>
      <c r="C59" s="50">
        <f t="shared" si="20"/>
        <v>-80</v>
      </c>
      <c r="D59" s="726">
        <f t="shared" si="21"/>
        <v>-8.4121976866456354</v>
      </c>
      <c r="E59" s="50">
        <f t="shared" si="22"/>
        <v>19</v>
      </c>
      <c r="F59" s="726">
        <f t="shared" si="23"/>
        <v>2.2300469483568075</v>
      </c>
      <c r="G59" s="50">
        <f t="shared" si="24"/>
        <v>-43</v>
      </c>
      <c r="H59" s="726">
        <f t="shared" si="25"/>
        <v>-5.8663028649386089</v>
      </c>
      <c r="I59" s="50">
        <f t="shared" si="26"/>
        <v>33</v>
      </c>
      <c r="J59" s="726">
        <f t="shared" si="27"/>
        <v>5.0228310502283104</v>
      </c>
    </row>
    <row r="60" spans="2:10" x14ac:dyDescent="0.25">
      <c r="B60" s="176" t="s">
        <v>30</v>
      </c>
      <c r="C60" s="50">
        <f t="shared" si="20"/>
        <v>20</v>
      </c>
      <c r="D60" s="726">
        <f t="shared" si="21"/>
        <v>2.6954177897574123</v>
      </c>
      <c r="E60" s="50">
        <f t="shared" si="22"/>
        <v>16</v>
      </c>
      <c r="F60" s="726">
        <f t="shared" si="23"/>
        <v>2.1447721179624666</v>
      </c>
      <c r="G60" s="50">
        <f t="shared" si="24"/>
        <v>-50</v>
      </c>
      <c r="H60" s="726">
        <f t="shared" si="25"/>
        <v>-8.064516129032258</v>
      </c>
      <c r="I60" s="50">
        <f t="shared" si="26"/>
        <v>3</v>
      </c>
      <c r="J60" s="726">
        <f t="shared" si="27"/>
        <v>0.52910052910052907</v>
      </c>
    </row>
    <row r="61" spans="2:10" x14ac:dyDescent="0.25">
      <c r="B61" s="176" t="s">
        <v>31</v>
      </c>
      <c r="C61" s="50">
        <f t="shared" si="20"/>
        <v>-76</v>
      </c>
      <c r="D61" s="726">
        <f t="shared" si="21"/>
        <v>-6.143896523848019</v>
      </c>
      <c r="E61" s="50">
        <f t="shared" si="22"/>
        <v>8</v>
      </c>
      <c r="F61" s="726">
        <f t="shared" si="23"/>
        <v>0.69384215091066781</v>
      </c>
      <c r="G61" s="50">
        <f t="shared" si="24"/>
        <v>-103</v>
      </c>
      <c r="H61" s="726">
        <f t="shared" si="25"/>
        <v>-8.8869715271786021</v>
      </c>
      <c r="I61" s="50">
        <f t="shared" si="26"/>
        <v>-74</v>
      </c>
      <c r="J61" s="726">
        <f t="shared" si="27"/>
        <v>-6.5486725663716818</v>
      </c>
    </row>
    <row r="62" spans="2:10" x14ac:dyDescent="0.25">
      <c r="B62" s="176" t="s">
        <v>32</v>
      </c>
      <c r="C62" s="50">
        <f t="shared" si="20"/>
        <v>-40</v>
      </c>
      <c r="D62" s="726">
        <f t="shared" si="21"/>
        <v>-5.3404539385847798</v>
      </c>
      <c r="E62" s="50">
        <f t="shared" si="22"/>
        <v>33</v>
      </c>
      <c r="F62" s="726">
        <f t="shared" si="23"/>
        <v>4.8816568047337281</v>
      </c>
      <c r="G62" s="50">
        <f t="shared" si="24"/>
        <v>-33</v>
      </c>
      <c r="H62" s="726">
        <f t="shared" si="25"/>
        <v>-5.205047318611987</v>
      </c>
      <c r="I62" s="50">
        <f t="shared" si="26"/>
        <v>-16</v>
      </c>
      <c r="J62" s="726">
        <f t="shared" si="27"/>
        <v>-2.5931928687196111</v>
      </c>
    </row>
    <row r="63" spans="2:10" x14ac:dyDescent="0.25">
      <c r="B63" s="176" t="s">
        <v>33</v>
      </c>
      <c r="C63" s="50">
        <f t="shared" si="20"/>
        <v>-33</v>
      </c>
      <c r="D63" s="726">
        <f t="shared" si="21"/>
        <v>-6.2264150943396226</v>
      </c>
      <c r="E63" s="50">
        <f t="shared" si="22"/>
        <v>12</v>
      </c>
      <c r="F63" s="726">
        <f t="shared" si="23"/>
        <v>2.4742268041237114</v>
      </c>
      <c r="G63" s="50">
        <f t="shared" si="24"/>
        <v>-19</v>
      </c>
      <c r="H63" s="726">
        <f t="shared" si="25"/>
        <v>-3.7623762376237622</v>
      </c>
      <c r="I63" s="50">
        <f t="shared" si="26"/>
        <v>-2</v>
      </c>
      <c r="J63" s="726">
        <f t="shared" si="27"/>
        <v>-0.4098360655737705</v>
      </c>
    </row>
    <row r="64" spans="2:10" x14ac:dyDescent="0.25">
      <c r="B64" s="176" t="s">
        <v>34</v>
      </c>
      <c r="C64" s="50">
        <f t="shared" si="20"/>
        <v>-71</v>
      </c>
      <c r="D64" s="726">
        <f t="shared" si="21"/>
        <v>-8.0316742081447963</v>
      </c>
      <c r="E64" s="50">
        <f t="shared" si="22"/>
        <v>18</v>
      </c>
      <c r="F64" s="726">
        <f t="shared" si="23"/>
        <v>2.2641509433962264</v>
      </c>
      <c r="G64" s="50">
        <f t="shared" si="24"/>
        <v>-66</v>
      </c>
      <c r="H64" s="726">
        <f t="shared" si="25"/>
        <v>-8.8000000000000007</v>
      </c>
      <c r="I64" s="50">
        <f t="shared" si="26"/>
        <v>-41</v>
      </c>
      <c r="J64" s="726">
        <f t="shared" si="27"/>
        <v>-5.6551724137931032</v>
      </c>
    </row>
    <row r="65" spans="2:10" x14ac:dyDescent="0.25">
      <c r="B65" s="176" t="s">
        <v>35</v>
      </c>
      <c r="C65" s="50">
        <f t="shared" si="20"/>
        <v>-24</v>
      </c>
      <c r="D65" s="726">
        <f t="shared" si="21"/>
        <v>-7.4303405572755414</v>
      </c>
      <c r="E65" s="50">
        <f t="shared" si="22"/>
        <v>-2</v>
      </c>
      <c r="F65" s="726">
        <f t="shared" si="23"/>
        <v>-0.66445182724252494</v>
      </c>
      <c r="G65" s="50">
        <f t="shared" si="24"/>
        <v>-21</v>
      </c>
      <c r="H65" s="726">
        <f t="shared" si="25"/>
        <v>-5.8171745152354575</v>
      </c>
      <c r="I65" s="50">
        <f t="shared" si="26"/>
        <v>-3</v>
      </c>
      <c r="J65" s="726">
        <f t="shared" si="27"/>
        <v>-0.87463556851311952</v>
      </c>
    </row>
    <row r="66" spans="2:10" x14ac:dyDescent="0.25">
      <c r="B66" s="176" t="s">
        <v>36</v>
      </c>
      <c r="C66" s="50">
        <f t="shared" si="20"/>
        <v>0</v>
      </c>
      <c r="D66" s="726">
        <f t="shared" si="21"/>
        <v>0</v>
      </c>
      <c r="E66" s="50">
        <f t="shared" si="22"/>
        <v>28</v>
      </c>
      <c r="F66" s="726">
        <f t="shared" si="23"/>
        <v>22.764227642276424</v>
      </c>
      <c r="G66" s="50">
        <f t="shared" si="24"/>
        <v>4</v>
      </c>
      <c r="H66" s="726">
        <f t="shared" si="25"/>
        <v>2.1052631578947367</v>
      </c>
      <c r="I66" s="50">
        <f t="shared" si="26"/>
        <v>19</v>
      </c>
      <c r="J66" s="726">
        <f t="shared" si="27"/>
        <v>10.857142857142858</v>
      </c>
    </row>
    <row r="67" spans="2:10" x14ac:dyDescent="0.25">
      <c r="B67" s="176" t="s">
        <v>37</v>
      </c>
      <c r="C67" s="50">
        <f t="shared" si="20"/>
        <v>4</v>
      </c>
      <c r="D67" s="726">
        <f t="shared" si="21"/>
        <v>0.99750623441396513</v>
      </c>
      <c r="E67" s="50">
        <f t="shared" si="22"/>
        <v>-20</v>
      </c>
      <c r="F67" s="726">
        <f t="shared" si="23"/>
        <v>-4.7058823529411766</v>
      </c>
      <c r="G67" s="50">
        <f t="shared" si="24"/>
        <v>-35</v>
      </c>
      <c r="H67" s="726">
        <f t="shared" si="25"/>
        <v>-4.895104895104895</v>
      </c>
      <c r="I67" s="50">
        <f t="shared" si="26"/>
        <v>-43</v>
      </c>
      <c r="J67" s="726">
        <f t="shared" si="27"/>
        <v>-5.9474412171507609</v>
      </c>
    </row>
    <row r="68" spans="2:10" x14ac:dyDescent="0.25">
      <c r="B68" s="176" t="s">
        <v>38</v>
      </c>
      <c r="C68" s="50">
        <f t="shared" si="20"/>
        <v>-6</v>
      </c>
      <c r="D68" s="726">
        <f t="shared" si="21"/>
        <v>-0.66518847006651882</v>
      </c>
      <c r="E68" s="50">
        <f t="shared" si="22"/>
        <v>-74</v>
      </c>
      <c r="F68" s="726">
        <f t="shared" si="23"/>
        <v>-7.6288659793814437</v>
      </c>
      <c r="G68" s="50">
        <f t="shared" si="24"/>
        <v>-45</v>
      </c>
      <c r="H68" s="726">
        <f t="shared" si="25"/>
        <v>-3.2991202346041058</v>
      </c>
      <c r="I68" s="50">
        <f t="shared" si="26"/>
        <v>-94</v>
      </c>
      <c r="J68" s="726">
        <f t="shared" si="27"/>
        <v>-6.6525123849964611</v>
      </c>
    </row>
    <row r="69" spans="2:10" ht="15.75" thickBot="1" x14ac:dyDescent="0.3">
      <c r="B69" s="177" t="s">
        <v>39</v>
      </c>
      <c r="C69" s="3">
        <f t="shared" si="20"/>
        <v>-18</v>
      </c>
      <c r="D69" s="727">
        <f t="shared" si="21"/>
        <v>-8.2949308755760374</v>
      </c>
      <c r="E69" s="3">
        <f t="shared" si="22"/>
        <v>4</v>
      </c>
      <c r="F69" s="727">
        <f t="shared" si="23"/>
        <v>2.0512820512820511</v>
      </c>
      <c r="G69" s="3">
        <f t="shared" si="24"/>
        <v>10</v>
      </c>
      <c r="H69" s="727">
        <f t="shared" si="25"/>
        <v>3.5460992907801416</v>
      </c>
      <c r="I69" s="3">
        <f t="shared" si="26"/>
        <v>-1</v>
      </c>
      <c r="J69" s="727">
        <f t="shared" si="27"/>
        <v>-0.34129692832764508</v>
      </c>
    </row>
  </sheetData>
  <mergeCells count="23">
    <mergeCell ref="B39:B43"/>
    <mergeCell ref="I4:N4"/>
    <mergeCell ref="I5:K5"/>
    <mergeCell ref="L5:N5"/>
    <mergeCell ref="I6:I7"/>
    <mergeCell ref="J6:K6"/>
    <mergeCell ref="D6:E6"/>
    <mergeCell ref="F6:F7"/>
    <mergeCell ref="G6:H6"/>
    <mergeCell ref="B3:B7"/>
    <mergeCell ref="C4:H4"/>
    <mergeCell ref="L6:L7"/>
    <mergeCell ref="M6:N6"/>
    <mergeCell ref="C5:E5"/>
    <mergeCell ref="F5:H5"/>
    <mergeCell ref="C6:C7"/>
    <mergeCell ref="O4:T4"/>
    <mergeCell ref="O5:Q5"/>
    <mergeCell ref="R5:T5"/>
    <mergeCell ref="O6:O7"/>
    <mergeCell ref="P6:Q6"/>
    <mergeCell ref="R6:R7"/>
    <mergeCell ref="S6:T6"/>
  </mergeCells>
  <printOptions horizontalCentered="1"/>
  <pageMargins left="0.31496062992125984" right="3.937007874015748E-2" top="0.6692913385826772" bottom="3.937007874015748E-2" header="3.937007874015748E-2" footer="0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  <pageSetUpPr fitToPage="1"/>
  </sheetPr>
  <dimension ref="B1:N68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85546875" style="77" customWidth="1"/>
    <col min="2" max="2" width="30.28515625" style="77" customWidth="1"/>
    <col min="3" max="3" width="15.28515625" style="77" customWidth="1"/>
    <col min="4" max="4" width="14.7109375" style="77" customWidth="1"/>
    <col min="5" max="5" width="14.140625" style="77" customWidth="1"/>
    <col min="6" max="6" width="14.5703125" style="77" customWidth="1"/>
    <col min="7" max="7" width="13.7109375" style="77" customWidth="1"/>
    <col min="8" max="8" width="13.85546875" style="77" customWidth="1"/>
    <col min="9" max="9" width="12.85546875" style="77" customWidth="1"/>
    <col min="10" max="10" width="12.5703125" style="77" customWidth="1"/>
    <col min="11" max="11" width="14.85546875" style="77" customWidth="1"/>
    <col min="12" max="12" width="13" style="77" customWidth="1"/>
    <col min="13" max="13" width="14.140625" style="77" customWidth="1"/>
    <col min="14" max="14" width="13.28515625" style="77" customWidth="1"/>
    <col min="15" max="15" width="14.28515625" style="77" customWidth="1"/>
    <col min="16" max="16384" width="9.140625" style="77"/>
  </cols>
  <sheetData>
    <row r="1" spans="2:14" x14ac:dyDescent="0.25">
      <c r="B1" s="11" t="s">
        <v>572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4" ht="16.5" customHeight="1" thickBot="1" x14ac:dyDescent="0.3">
      <c r="B2" s="11" t="s">
        <v>310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48"/>
      <c r="N2" s="297"/>
    </row>
    <row r="3" spans="2:14" x14ac:dyDescent="0.25">
      <c r="B3" s="1023" t="s">
        <v>103</v>
      </c>
      <c r="C3" s="995" t="s">
        <v>423</v>
      </c>
      <c r="D3" s="1021"/>
      <c r="E3" s="998"/>
      <c r="F3" s="995" t="s">
        <v>481</v>
      </c>
      <c r="G3" s="1021"/>
      <c r="H3" s="998"/>
      <c r="I3" s="995" t="s">
        <v>482</v>
      </c>
      <c r="J3" s="1021"/>
      <c r="K3" s="996"/>
    </row>
    <row r="4" spans="2:14" ht="19.5" customHeight="1" x14ac:dyDescent="0.25">
      <c r="B4" s="1084"/>
      <c r="C4" s="1111" t="s">
        <v>152</v>
      </c>
      <c r="D4" s="1112"/>
      <c r="E4" s="1114"/>
      <c r="F4" s="1111" t="s">
        <v>152</v>
      </c>
      <c r="G4" s="1112"/>
      <c r="H4" s="1114"/>
      <c r="I4" s="1111" t="s">
        <v>152</v>
      </c>
      <c r="J4" s="1112"/>
      <c r="K4" s="1113"/>
    </row>
    <row r="5" spans="2:14" ht="17.25" customHeight="1" x14ac:dyDescent="0.25">
      <c r="B5" s="1084"/>
      <c r="C5" s="1108" t="s">
        <v>4</v>
      </c>
      <c r="D5" s="1115" t="s">
        <v>94</v>
      </c>
      <c r="E5" s="1117"/>
      <c r="F5" s="1108" t="s">
        <v>4</v>
      </c>
      <c r="G5" s="1115" t="s">
        <v>94</v>
      </c>
      <c r="H5" s="1117"/>
      <c r="I5" s="1108" t="s">
        <v>4</v>
      </c>
      <c r="J5" s="1115" t="s">
        <v>94</v>
      </c>
      <c r="K5" s="1116"/>
    </row>
    <row r="6" spans="2:14" ht="23.25" customHeight="1" thickBot="1" x14ac:dyDescent="0.3">
      <c r="B6" s="1036"/>
      <c r="C6" s="1074"/>
      <c r="D6" s="705" t="s">
        <v>107</v>
      </c>
      <c r="E6" s="911" t="s">
        <v>369</v>
      </c>
      <c r="F6" s="1074"/>
      <c r="G6" s="705" t="s">
        <v>107</v>
      </c>
      <c r="H6" s="911" t="s">
        <v>369</v>
      </c>
      <c r="I6" s="1074"/>
      <c r="J6" s="705" t="s">
        <v>107</v>
      </c>
      <c r="K6" s="844" t="s">
        <v>369</v>
      </c>
    </row>
    <row r="7" spans="2:14" ht="27" customHeight="1" thickBot="1" x14ac:dyDescent="0.3">
      <c r="B7" s="265" t="s">
        <v>14</v>
      </c>
      <c r="C7" s="266">
        <f>SUM(C8:C32)</f>
        <v>37173</v>
      </c>
      <c r="D7" s="267">
        <f>SUM(D8:D32)</f>
        <v>20781</v>
      </c>
      <c r="E7" s="269">
        <f>D7*100/C7</f>
        <v>55.903478331046728</v>
      </c>
      <c r="F7" s="266">
        <f>SUM(F8:F32)</f>
        <v>37294</v>
      </c>
      <c r="G7" s="267">
        <f>SUM(G8:G32)</f>
        <v>20458</v>
      </c>
      <c r="H7" s="269">
        <f>G7*100/F7</f>
        <v>54.856009009492141</v>
      </c>
      <c r="I7" s="266">
        <f>SUM(I8:I32)</f>
        <v>35900</v>
      </c>
      <c r="J7" s="267">
        <f>SUM(J8:J32)</f>
        <v>19610</v>
      </c>
      <c r="K7" s="268">
        <f>J7*100/I7</f>
        <v>54.623955431754872</v>
      </c>
    </row>
    <row r="8" spans="2:14" ht="15.75" thickTop="1" x14ac:dyDescent="0.25">
      <c r="B8" s="174" t="s">
        <v>15</v>
      </c>
      <c r="C8" s="178">
        <v>601</v>
      </c>
      <c r="D8" s="179">
        <v>324</v>
      </c>
      <c r="E8" s="270">
        <f t="shared" ref="E8:E31" si="0">D8*100/C8</f>
        <v>53.910149750415975</v>
      </c>
      <c r="F8" s="178">
        <v>622</v>
      </c>
      <c r="G8" s="179">
        <v>328</v>
      </c>
      <c r="H8" s="270">
        <f t="shared" ref="H8:H31" si="1">G8*100/F8</f>
        <v>52.733118971061096</v>
      </c>
      <c r="I8" s="178">
        <v>617</v>
      </c>
      <c r="J8" s="179">
        <v>321</v>
      </c>
      <c r="K8" s="54">
        <f t="shared" ref="K8:K32" si="2">J8*100/I8</f>
        <v>52.025931928687193</v>
      </c>
    </row>
    <row r="9" spans="2:14" x14ac:dyDescent="0.25">
      <c r="B9" s="175" t="s">
        <v>16</v>
      </c>
      <c r="C9" s="50">
        <v>2379</v>
      </c>
      <c r="D9" s="9">
        <v>1348</v>
      </c>
      <c r="E9" s="270">
        <f t="shared" si="0"/>
        <v>56.662463219840269</v>
      </c>
      <c r="F9" s="50">
        <v>2466</v>
      </c>
      <c r="G9" s="9">
        <v>1334</v>
      </c>
      <c r="H9" s="270">
        <f t="shared" si="1"/>
        <v>54.095701540957016</v>
      </c>
      <c r="I9" s="50">
        <v>2314</v>
      </c>
      <c r="J9" s="9">
        <v>1285</v>
      </c>
      <c r="K9" s="54">
        <f t="shared" si="2"/>
        <v>55.53154710458081</v>
      </c>
    </row>
    <row r="10" spans="2:14" x14ac:dyDescent="0.25">
      <c r="B10" s="175" t="s">
        <v>17</v>
      </c>
      <c r="C10" s="50">
        <v>979</v>
      </c>
      <c r="D10" s="9">
        <v>689</v>
      </c>
      <c r="E10" s="270">
        <f t="shared" si="0"/>
        <v>70.377936670071506</v>
      </c>
      <c r="F10" s="50">
        <v>967</v>
      </c>
      <c r="G10" s="9">
        <v>672</v>
      </c>
      <c r="H10" s="270">
        <f t="shared" si="1"/>
        <v>69.493278179937946</v>
      </c>
      <c r="I10" s="50">
        <v>954</v>
      </c>
      <c r="J10" s="9">
        <v>653</v>
      </c>
      <c r="K10" s="54">
        <f t="shared" si="2"/>
        <v>68.448637316561843</v>
      </c>
    </row>
    <row r="11" spans="2:14" x14ac:dyDescent="0.25">
      <c r="B11" s="175" t="s">
        <v>18</v>
      </c>
      <c r="C11" s="50">
        <v>2531</v>
      </c>
      <c r="D11" s="9">
        <v>1458</v>
      </c>
      <c r="E11" s="270">
        <f t="shared" si="0"/>
        <v>57.605689450809955</v>
      </c>
      <c r="F11" s="50">
        <v>2444</v>
      </c>
      <c r="G11" s="9">
        <v>1386</v>
      </c>
      <c r="H11" s="270">
        <f t="shared" si="1"/>
        <v>56.710310965630114</v>
      </c>
      <c r="I11" s="50">
        <v>2442</v>
      </c>
      <c r="J11" s="9">
        <v>1351</v>
      </c>
      <c r="K11" s="54">
        <f t="shared" si="2"/>
        <v>55.323505323505323</v>
      </c>
    </row>
    <row r="12" spans="2:14" x14ac:dyDescent="0.25">
      <c r="B12" s="175" t="s">
        <v>19</v>
      </c>
      <c r="C12" s="50">
        <v>2906</v>
      </c>
      <c r="D12" s="9">
        <v>1839</v>
      </c>
      <c r="E12" s="270">
        <f t="shared" si="0"/>
        <v>63.282863041982104</v>
      </c>
      <c r="F12" s="50">
        <v>3094</v>
      </c>
      <c r="G12" s="9">
        <v>1944</v>
      </c>
      <c r="H12" s="270">
        <f t="shared" si="1"/>
        <v>62.831286360698122</v>
      </c>
      <c r="I12" s="50">
        <v>2922</v>
      </c>
      <c r="J12" s="9">
        <v>1860</v>
      </c>
      <c r="K12" s="54">
        <f t="shared" si="2"/>
        <v>63.655030800821358</v>
      </c>
    </row>
    <row r="13" spans="2:14" x14ac:dyDescent="0.25">
      <c r="B13" s="175" t="s">
        <v>20</v>
      </c>
      <c r="C13" s="50">
        <v>760</v>
      </c>
      <c r="D13" s="9">
        <v>425</v>
      </c>
      <c r="E13" s="270">
        <f t="shared" si="0"/>
        <v>55.921052631578945</v>
      </c>
      <c r="F13" s="50">
        <v>747</v>
      </c>
      <c r="G13" s="9">
        <v>390</v>
      </c>
      <c r="H13" s="270">
        <f t="shared" si="1"/>
        <v>52.208835341365464</v>
      </c>
      <c r="I13" s="50">
        <v>713</v>
      </c>
      <c r="J13" s="9">
        <v>364</v>
      </c>
      <c r="K13" s="54">
        <f t="shared" si="2"/>
        <v>51.051893408134646</v>
      </c>
    </row>
    <row r="14" spans="2:14" x14ac:dyDescent="0.25">
      <c r="B14" s="175" t="s">
        <v>21</v>
      </c>
      <c r="C14" s="50">
        <v>935</v>
      </c>
      <c r="D14" s="9">
        <v>564</v>
      </c>
      <c r="E14" s="270">
        <f t="shared" si="0"/>
        <v>60.320855614973262</v>
      </c>
      <c r="F14" s="50">
        <v>961</v>
      </c>
      <c r="G14" s="9">
        <v>559</v>
      </c>
      <c r="H14" s="270">
        <f t="shared" si="1"/>
        <v>58.168574401664934</v>
      </c>
      <c r="I14" s="50">
        <v>973</v>
      </c>
      <c r="J14" s="9">
        <v>549</v>
      </c>
      <c r="K14" s="54">
        <f t="shared" si="2"/>
        <v>56.423432682425485</v>
      </c>
    </row>
    <row r="15" spans="2:14" x14ac:dyDescent="0.25">
      <c r="B15" s="175" t="s">
        <v>22</v>
      </c>
      <c r="C15" s="50">
        <v>1048</v>
      </c>
      <c r="D15" s="9">
        <v>484</v>
      </c>
      <c r="E15" s="270">
        <f t="shared" si="0"/>
        <v>46.18320610687023</v>
      </c>
      <c r="F15" s="50">
        <v>1086</v>
      </c>
      <c r="G15" s="9">
        <v>497</v>
      </c>
      <c r="H15" s="270">
        <f t="shared" si="1"/>
        <v>45.764272559852671</v>
      </c>
      <c r="I15" s="50">
        <v>1027</v>
      </c>
      <c r="J15" s="9">
        <v>469</v>
      </c>
      <c r="K15" s="54">
        <f t="shared" si="2"/>
        <v>45.666991236611487</v>
      </c>
    </row>
    <row r="16" spans="2:14" x14ac:dyDescent="0.25">
      <c r="B16" s="175" t="s">
        <v>23</v>
      </c>
      <c r="C16" s="50">
        <v>1763</v>
      </c>
      <c r="D16" s="9">
        <v>1030</v>
      </c>
      <c r="E16" s="270">
        <f t="shared" si="0"/>
        <v>58.423142370958594</v>
      </c>
      <c r="F16" s="50">
        <v>1777</v>
      </c>
      <c r="G16" s="9">
        <v>1016</v>
      </c>
      <c r="H16" s="270">
        <f t="shared" si="1"/>
        <v>57.175014068655038</v>
      </c>
      <c r="I16" s="50">
        <v>1641</v>
      </c>
      <c r="J16" s="9">
        <v>945</v>
      </c>
      <c r="K16" s="54">
        <f>J16*100/I16</f>
        <v>57.586837294332724</v>
      </c>
    </row>
    <row r="17" spans="2:11" x14ac:dyDescent="0.25">
      <c r="B17" s="175" t="s">
        <v>24</v>
      </c>
      <c r="C17" s="50">
        <v>866</v>
      </c>
      <c r="D17" s="9">
        <v>422</v>
      </c>
      <c r="E17" s="270">
        <f t="shared" si="0"/>
        <v>48.729792147806002</v>
      </c>
      <c r="F17" s="50">
        <v>932</v>
      </c>
      <c r="G17" s="9">
        <v>448</v>
      </c>
      <c r="H17" s="270">
        <f t="shared" si="1"/>
        <v>48.068669527896994</v>
      </c>
      <c r="I17" s="50">
        <v>823</v>
      </c>
      <c r="J17" s="9">
        <v>392</v>
      </c>
      <c r="K17" s="54">
        <f t="shared" si="2"/>
        <v>47.630619684082625</v>
      </c>
    </row>
    <row r="18" spans="2:11" x14ac:dyDescent="0.25">
      <c r="B18" s="175" t="s">
        <v>25</v>
      </c>
      <c r="C18" s="50">
        <v>1301</v>
      </c>
      <c r="D18" s="9">
        <v>686</v>
      </c>
      <c r="E18" s="270">
        <f t="shared" si="0"/>
        <v>52.728670253651039</v>
      </c>
      <c r="F18" s="50">
        <v>1282</v>
      </c>
      <c r="G18" s="9">
        <v>651</v>
      </c>
      <c r="H18" s="270">
        <f t="shared" si="1"/>
        <v>50.78003120124805</v>
      </c>
      <c r="I18" s="50">
        <v>1194</v>
      </c>
      <c r="J18" s="9">
        <v>615</v>
      </c>
      <c r="K18" s="54">
        <f t="shared" si="2"/>
        <v>51.507537688442213</v>
      </c>
    </row>
    <row r="19" spans="2:11" x14ac:dyDescent="0.25">
      <c r="B19" s="175" t="s">
        <v>26</v>
      </c>
      <c r="C19" s="50">
        <v>1238</v>
      </c>
      <c r="D19" s="9">
        <v>664</v>
      </c>
      <c r="E19" s="270">
        <f t="shared" si="0"/>
        <v>53.634894991922458</v>
      </c>
      <c r="F19" s="50">
        <v>1357</v>
      </c>
      <c r="G19" s="9">
        <v>713</v>
      </c>
      <c r="H19" s="270">
        <f t="shared" si="1"/>
        <v>52.542372881355931</v>
      </c>
      <c r="I19" s="50">
        <v>1385</v>
      </c>
      <c r="J19" s="9">
        <v>696</v>
      </c>
      <c r="K19" s="54">
        <f t="shared" si="2"/>
        <v>50.252707581227433</v>
      </c>
    </row>
    <row r="20" spans="2:11" x14ac:dyDescent="0.25">
      <c r="B20" s="175" t="s">
        <v>27</v>
      </c>
      <c r="C20" s="50">
        <v>1742</v>
      </c>
      <c r="D20" s="9">
        <v>958</v>
      </c>
      <c r="E20" s="270">
        <f t="shared" si="0"/>
        <v>54.994259471871409</v>
      </c>
      <c r="F20" s="50">
        <v>1673</v>
      </c>
      <c r="G20" s="9">
        <v>932</v>
      </c>
      <c r="H20" s="270">
        <f t="shared" si="1"/>
        <v>55.708308427973698</v>
      </c>
      <c r="I20" s="50">
        <v>1594</v>
      </c>
      <c r="J20" s="9">
        <v>881</v>
      </c>
      <c r="K20" s="54">
        <f t="shared" si="2"/>
        <v>55.269761606022584</v>
      </c>
    </row>
    <row r="21" spans="2:11" x14ac:dyDescent="0.25">
      <c r="B21" s="176" t="s">
        <v>28</v>
      </c>
      <c r="C21" s="106">
        <v>1755</v>
      </c>
      <c r="D21" s="107">
        <v>971</v>
      </c>
      <c r="E21" s="270">
        <f t="shared" si="0"/>
        <v>55.327635327635328</v>
      </c>
      <c r="F21" s="106">
        <v>1741</v>
      </c>
      <c r="G21" s="107">
        <v>951</v>
      </c>
      <c r="H21" s="270">
        <f t="shared" si="1"/>
        <v>54.623779437105114</v>
      </c>
      <c r="I21" s="106">
        <v>1620</v>
      </c>
      <c r="J21" s="107">
        <v>883</v>
      </c>
      <c r="K21" s="54">
        <f t="shared" si="2"/>
        <v>54.506172839506171</v>
      </c>
    </row>
    <row r="22" spans="2:11" x14ac:dyDescent="0.25">
      <c r="B22" s="176" t="s">
        <v>29</v>
      </c>
      <c r="C22" s="106">
        <v>1959</v>
      </c>
      <c r="D22" s="107">
        <v>1167</v>
      </c>
      <c r="E22" s="270">
        <f t="shared" si="0"/>
        <v>59.571209800918837</v>
      </c>
      <c r="F22" s="106">
        <v>2015</v>
      </c>
      <c r="G22" s="107">
        <v>1184</v>
      </c>
      <c r="H22" s="270">
        <f t="shared" si="1"/>
        <v>58.759305210918114</v>
      </c>
      <c r="I22" s="106">
        <v>1899</v>
      </c>
      <c r="J22" s="107">
        <v>1112</v>
      </c>
      <c r="K22" s="54">
        <f t="shared" si="2"/>
        <v>58.557135334386523</v>
      </c>
    </row>
    <row r="23" spans="2:11" x14ac:dyDescent="0.25">
      <c r="B23" s="176" t="s">
        <v>30</v>
      </c>
      <c r="C23" s="106">
        <v>1405</v>
      </c>
      <c r="D23" s="107">
        <v>814</v>
      </c>
      <c r="E23" s="270">
        <f t="shared" si="0"/>
        <v>57.935943060498218</v>
      </c>
      <c r="F23" s="106">
        <v>1338</v>
      </c>
      <c r="G23" s="107">
        <v>755</v>
      </c>
      <c r="H23" s="270">
        <f t="shared" si="1"/>
        <v>56.427503736920777</v>
      </c>
      <c r="I23" s="106">
        <v>1298</v>
      </c>
      <c r="J23" s="107">
        <v>724</v>
      </c>
      <c r="K23" s="54">
        <f t="shared" si="2"/>
        <v>55.778120184899848</v>
      </c>
    </row>
    <row r="24" spans="2:11" x14ac:dyDescent="0.25">
      <c r="B24" s="176" t="s">
        <v>31</v>
      </c>
      <c r="C24" s="106">
        <v>2722</v>
      </c>
      <c r="D24" s="107">
        <v>1418</v>
      </c>
      <c r="E24" s="270">
        <f t="shared" si="0"/>
        <v>52.094048493754592</v>
      </c>
      <c r="F24" s="106">
        <v>2594</v>
      </c>
      <c r="G24" s="107">
        <v>1314</v>
      </c>
      <c r="H24" s="270">
        <f t="shared" si="1"/>
        <v>50.655358519660759</v>
      </c>
      <c r="I24" s="106">
        <v>2506</v>
      </c>
      <c r="J24" s="107">
        <v>1268</v>
      </c>
      <c r="K24" s="54">
        <f t="shared" si="2"/>
        <v>50.598563447725461</v>
      </c>
    </row>
    <row r="25" spans="2:11" x14ac:dyDescent="0.25">
      <c r="B25" s="176" t="s">
        <v>32</v>
      </c>
      <c r="C25" s="106">
        <v>1322</v>
      </c>
      <c r="D25" s="107">
        <v>704</v>
      </c>
      <c r="E25" s="270">
        <f t="shared" si="0"/>
        <v>53.25264750378215</v>
      </c>
      <c r="F25" s="106">
        <v>1399</v>
      </c>
      <c r="G25" s="107">
        <v>731</v>
      </c>
      <c r="H25" s="270">
        <f t="shared" si="1"/>
        <v>52.251608291636884</v>
      </c>
      <c r="I25" s="106">
        <v>1440</v>
      </c>
      <c r="J25" s="107">
        <v>761</v>
      </c>
      <c r="K25" s="54">
        <f t="shared" si="2"/>
        <v>52.847222222222221</v>
      </c>
    </row>
    <row r="26" spans="2:11" x14ac:dyDescent="0.25">
      <c r="B26" s="176" t="s">
        <v>33</v>
      </c>
      <c r="C26" s="106">
        <v>764</v>
      </c>
      <c r="D26" s="107">
        <v>449</v>
      </c>
      <c r="E26" s="270">
        <f t="shared" si="0"/>
        <v>58.769633507853406</v>
      </c>
      <c r="F26" s="106">
        <v>783</v>
      </c>
      <c r="G26" s="107">
        <v>450</v>
      </c>
      <c r="H26" s="270">
        <f t="shared" si="1"/>
        <v>57.47126436781609</v>
      </c>
      <c r="I26" s="106">
        <v>769</v>
      </c>
      <c r="J26" s="107">
        <v>422</v>
      </c>
      <c r="K26" s="54">
        <f t="shared" si="2"/>
        <v>54.876462938881666</v>
      </c>
    </row>
    <row r="27" spans="2:11" x14ac:dyDescent="0.25">
      <c r="B27" s="176" t="s">
        <v>34</v>
      </c>
      <c r="C27" s="106">
        <v>1918</v>
      </c>
      <c r="D27" s="107">
        <v>1098</v>
      </c>
      <c r="E27" s="270">
        <f t="shared" si="0"/>
        <v>57.247132429614183</v>
      </c>
      <c r="F27" s="106">
        <v>1949</v>
      </c>
      <c r="G27" s="107">
        <v>1079</v>
      </c>
      <c r="H27" s="270">
        <f t="shared" si="1"/>
        <v>55.361723961005644</v>
      </c>
      <c r="I27" s="106">
        <v>1868</v>
      </c>
      <c r="J27" s="107">
        <v>1035</v>
      </c>
      <c r="K27" s="54">
        <f t="shared" si="2"/>
        <v>55.406852248394003</v>
      </c>
    </row>
    <row r="28" spans="2:11" x14ac:dyDescent="0.25">
      <c r="B28" s="176" t="s">
        <v>35</v>
      </c>
      <c r="C28" s="106">
        <v>644</v>
      </c>
      <c r="D28" s="107">
        <v>353</v>
      </c>
      <c r="E28" s="270">
        <f t="shared" si="0"/>
        <v>54.813664596273291</v>
      </c>
      <c r="F28" s="106">
        <v>618</v>
      </c>
      <c r="G28" s="107">
        <v>328</v>
      </c>
      <c r="H28" s="270">
        <f t="shared" si="1"/>
        <v>53.074433656957929</v>
      </c>
      <c r="I28" s="106">
        <v>615</v>
      </c>
      <c r="J28" s="107">
        <v>331</v>
      </c>
      <c r="K28" s="54">
        <f t="shared" si="2"/>
        <v>53.821138211382113</v>
      </c>
    </row>
    <row r="29" spans="2:11" x14ac:dyDescent="0.25">
      <c r="B29" s="176" t="s">
        <v>36</v>
      </c>
      <c r="C29" s="106">
        <v>302</v>
      </c>
      <c r="D29" s="107">
        <v>182</v>
      </c>
      <c r="E29" s="270">
        <f t="shared" si="0"/>
        <v>60.264900662251655</v>
      </c>
      <c r="F29" s="106">
        <v>304</v>
      </c>
      <c r="G29" s="107">
        <v>171</v>
      </c>
      <c r="H29" s="270">
        <f t="shared" si="1"/>
        <v>56.25</v>
      </c>
      <c r="I29" s="106">
        <v>320</v>
      </c>
      <c r="J29" s="107">
        <v>182</v>
      </c>
      <c r="K29" s="54">
        <f t="shared" si="2"/>
        <v>56.875</v>
      </c>
    </row>
    <row r="30" spans="2:11" x14ac:dyDescent="0.25">
      <c r="B30" s="176" t="s">
        <v>37</v>
      </c>
      <c r="C30" s="106">
        <v>1557</v>
      </c>
      <c r="D30" s="107">
        <v>785</v>
      </c>
      <c r="E30" s="270">
        <f t="shared" si="0"/>
        <v>50.417469492614003</v>
      </c>
      <c r="F30" s="106">
        <v>1502</v>
      </c>
      <c r="G30" s="107">
        <v>752</v>
      </c>
      <c r="H30" s="270">
        <f t="shared" si="1"/>
        <v>50.066577896138483</v>
      </c>
      <c r="I30" s="106">
        <v>1448</v>
      </c>
      <c r="J30" s="107">
        <v>729</v>
      </c>
      <c r="K30" s="54">
        <f t="shared" si="2"/>
        <v>50.345303867403317</v>
      </c>
    </row>
    <row r="31" spans="2:11" x14ac:dyDescent="0.25">
      <c r="B31" s="176" t="s">
        <v>38</v>
      </c>
      <c r="C31" s="106">
        <v>3239</v>
      </c>
      <c r="D31" s="107">
        <v>1639</v>
      </c>
      <c r="E31" s="270">
        <f t="shared" si="0"/>
        <v>50.602037665946277</v>
      </c>
      <c r="F31" s="106">
        <v>3099</v>
      </c>
      <c r="G31" s="107">
        <v>1566</v>
      </c>
      <c r="H31" s="270">
        <f t="shared" si="1"/>
        <v>50.532429816069701</v>
      </c>
      <c r="I31" s="106">
        <v>2975</v>
      </c>
      <c r="J31" s="107">
        <v>1499</v>
      </c>
      <c r="K31" s="54">
        <f t="shared" si="2"/>
        <v>50.386554621848738</v>
      </c>
    </row>
    <row r="32" spans="2:11" ht="15.75" thickBot="1" x14ac:dyDescent="0.3">
      <c r="B32" s="177" t="s">
        <v>39</v>
      </c>
      <c r="C32" s="108">
        <v>537</v>
      </c>
      <c r="D32" s="110">
        <v>310</v>
      </c>
      <c r="E32" s="271">
        <f>D32*100/C32</f>
        <v>57.728119180633151</v>
      </c>
      <c r="F32" s="108">
        <v>544</v>
      </c>
      <c r="G32" s="110">
        <v>307</v>
      </c>
      <c r="H32" s="271">
        <f>G32*100/F32</f>
        <v>56.433823529411768</v>
      </c>
      <c r="I32" s="108">
        <v>543</v>
      </c>
      <c r="J32" s="110">
        <v>283</v>
      </c>
      <c r="K32" s="94">
        <f t="shared" si="2"/>
        <v>52.117863720073665</v>
      </c>
    </row>
    <row r="33" spans="2:13" x14ac:dyDescent="0.25">
      <c r="B33" s="302" t="s">
        <v>235</v>
      </c>
      <c r="C33" s="369"/>
      <c r="D33" s="369"/>
      <c r="E33" s="369"/>
      <c r="F33" s="11"/>
      <c r="G33" s="11"/>
      <c r="H33" s="11"/>
      <c r="I33" s="11"/>
      <c r="J33" s="11"/>
      <c r="K33" s="11"/>
      <c r="L33" s="11"/>
      <c r="M33" s="11"/>
    </row>
    <row r="34" spans="2:13" x14ac:dyDescent="0.25">
      <c r="B34" s="11" t="s">
        <v>237</v>
      </c>
      <c r="C34" s="11"/>
      <c r="D34" s="11"/>
      <c r="E34" s="11"/>
      <c r="F34" s="302"/>
      <c r="G34" s="302"/>
      <c r="H34" s="302"/>
      <c r="I34" s="236"/>
      <c r="J34" s="236"/>
      <c r="K34" s="236"/>
      <c r="L34" s="236"/>
      <c r="M34" s="236"/>
    </row>
    <row r="35" spans="2:13" x14ac:dyDescent="0.25">
      <c r="B35" s="11" t="s">
        <v>238</v>
      </c>
      <c r="C35" s="11"/>
      <c r="D35" s="11"/>
      <c r="E35" s="11"/>
      <c r="F35" s="11"/>
      <c r="G35" s="846" t="s">
        <v>528</v>
      </c>
    </row>
    <row r="36" spans="2:13" x14ac:dyDescent="0.25">
      <c r="G36" s="846" t="s">
        <v>529</v>
      </c>
    </row>
    <row r="37" spans="2:13" x14ac:dyDescent="0.25">
      <c r="B37" s="11" t="s">
        <v>342</v>
      </c>
    </row>
    <row r="38" spans="2:13" ht="15.75" thickBot="1" x14ac:dyDescent="0.3">
      <c r="B38" s="11" t="s">
        <v>252</v>
      </c>
    </row>
    <row r="39" spans="2:13" x14ac:dyDescent="0.25">
      <c r="B39" s="1023" t="s">
        <v>103</v>
      </c>
      <c r="C39" s="995" t="s">
        <v>509</v>
      </c>
      <c r="D39" s="1042" t="s">
        <v>510</v>
      </c>
      <c r="E39" s="1118" t="s">
        <v>511</v>
      </c>
      <c r="F39" s="1121" t="s">
        <v>512</v>
      </c>
    </row>
    <row r="40" spans="2:13" x14ac:dyDescent="0.25">
      <c r="B40" s="1084"/>
      <c r="C40" s="1109"/>
      <c r="D40" s="1110"/>
      <c r="E40" s="1119"/>
      <c r="F40" s="1122"/>
    </row>
    <row r="41" spans="2:13" x14ac:dyDescent="0.25">
      <c r="B41" s="1084"/>
      <c r="C41" s="1109"/>
      <c r="D41" s="1110"/>
      <c r="E41" s="1119"/>
      <c r="F41" s="1122"/>
    </row>
    <row r="42" spans="2:13" ht="15.75" thickBot="1" x14ac:dyDescent="0.3">
      <c r="B42" s="1036"/>
      <c r="C42" s="984"/>
      <c r="D42" s="1009"/>
      <c r="E42" s="1120"/>
      <c r="F42" s="1123"/>
    </row>
    <row r="43" spans="2:13" ht="19.5" thickBot="1" x14ac:dyDescent="0.3">
      <c r="B43" s="265" t="s">
        <v>14</v>
      </c>
      <c r="C43" s="266">
        <f>I7-F7</f>
        <v>-1394</v>
      </c>
      <c r="D43" s="268">
        <f>C43*100/F7</f>
        <v>-3.7378666809674477</v>
      </c>
      <c r="E43" s="266">
        <f>I7-C7</f>
        <v>-1273</v>
      </c>
      <c r="F43" s="268">
        <f>E43*100/C7</f>
        <v>-3.4245285556721274</v>
      </c>
    </row>
    <row r="44" spans="2:13" ht="15.75" thickTop="1" x14ac:dyDescent="0.25">
      <c r="B44" s="174" t="s">
        <v>15</v>
      </c>
      <c r="C44" s="178">
        <f t="shared" ref="C44:C68" si="3">I8-F8</f>
        <v>-5</v>
      </c>
      <c r="D44" s="54">
        <f t="shared" ref="D44:D68" si="4">C44*100/F8</f>
        <v>-0.8038585209003215</v>
      </c>
      <c r="E44" s="178">
        <f t="shared" ref="E44:E68" si="5">I8-C8</f>
        <v>16</v>
      </c>
      <c r="F44" s="54">
        <f t="shared" ref="F44:F68" si="6">E44*100/C8</f>
        <v>2.6622296173044924</v>
      </c>
    </row>
    <row r="45" spans="2:13" x14ac:dyDescent="0.25">
      <c r="B45" s="175" t="s">
        <v>16</v>
      </c>
      <c r="C45" s="50">
        <f t="shared" si="3"/>
        <v>-152</v>
      </c>
      <c r="D45" s="7">
        <f t="shared" si="4"/>
        <v>-6.1638280616382808</v>
      </c>
      <c r="E45" s="50">
        <f t="shared" si="5"/>
        <v>-65</v>
      </c>
      <c r="F45" s="7">
        <f t="shared" si="6"/>
        <v>-2.7322404371584699</v>
      </c>
    </row>
    <row r="46" spans="2:13" x14ac:dyDescent="0.25">
      <c r="B46" s="175" t="s">
        <v>17</v>
      </c>
      <c r="C46" s="50">
        <f t="shared" si="3"/>
        <v>-13</v>
      </c>
      <c r="D46" s="7">
        <f t="shared" si="4"/>
        <v>-1.344364012409514</v>
      </c>
      <c r="E46" s="50">
        <f t="shared" si="5"/>
        <v>-25</v>
      </c>
      <c r="F46" s="7">
        <f t="shared" si="6"/>
        <v>-2.5536261491317673</v>
      </c>
    </row>
    <row r="47" spans="2:13" x14ac:dyDescent="0.25">
      <c r="B47" s="175" t="s">
        <v>18</v>
      </c>
      <c r="C47" s="50">
        <f t="shared" si="3"/>
        <v>-2</v>
      </c>
      <c r="D47" s="7">
        <f t="shared" si="4"/>
        <v>-8.1833060556464818E-2</v>
      </c>
      <c r="E47" s="50">
        <f t="shared" si="5"/>
        <v>-89</v>
      </c>
      <c r="F47" s="7">
        <f t="shared" si="6"/>
        <v>-3.5163966811536942</v>
      </c>
    </row>
    <row r="48" spans="2:13" x14ac:dyDescent="0.25">
      <c r="B48" s="175" t="s">
        <v>19</v>
      </c>
      <c r="C48" s="50">
        <f t="shared" si="3"/>
        <v>-172</v>
      </c>
      <c r="D48" s="7">
        <f t="shared" si="4"/>
        <v>-5.5591467356173236</v>
      </c>
      <c r="E48" s="50">
        <f t="shared" si="5"/>
        <v>16</v>
      </c>
      <c r="F48" s="7">
        <f t="shared" si="6"/>
        <v>0.55058499655884374</v>
      </c>
    </row>
    <row r="49" spans="2:6" x14ac:dyDescent="0.25">
      <c r="B49" s="175" t="s">
        <v>20</v>
      </c>
      <c r="C49" s="50">
        <f t="shared" si="3"/>
        <v>-34</v>
      </c>
      <c r="D49" s="7">
        <f t="shared" si="4"/>
        <v>-4.5515394912985272</v>
      </c>
      <c r="E49" s="50">
        <f t="shared" si="5"/>
        <v>-47</v>
      </c>
      <c r="F49" s="7">
        <f t="shared" si="6"/>
        <v>-6.1842105263157894</v>
      </c>
    </row>
    <row r="50" spans="2:6" x14ac:dyDescent="0.25">
      <c r="B50" s="175" t="s">
        <v>21</v>
      </c>
      <c r="C50" s="50">
        <f t="shared" si="3"/>
        <v>12</v>
      </c>
      <c r="D50" s="7">
        <f t="shared" si="4"/>
        <v>1.2486992715920915</v>
      </c>
      <c r="E50" s="50">
        <f t="shared" si="5"/>
        <v>38</v>
      </c>
      <c r="F50" s="7">
        <f t="shared" si="6"/>
        <v>4.0641711229946527</v>
      </c>
    </row>
    <row r="51" spans="2:6" x14ac:dyDescent="0.25">
      <c r="B51" s="175" t="s">
        <v>22</v>
      </c>
      <c r="C51" s="50">
        <f t="shared" si="3"/>
        <v>-59</v>
      </c>
      <c r="D51" s="7">
        <f t="shared" si="4"/>
        <v>-5.4327808471454881</v>
      </c>
      <c r="E51" s="50">
        <f t="shared" si="5"/>
        <v>-21</v>
      </c>
      <c r="F51" s="7">
        <f t="shared" si="6"/>
        <v>-2.0038167938931299</v>
      </c>
    </row>
    <row r="52" spans="2:6" x14ac:dyDescent="0.25">
      <c r="B52" s="175" t="s">
        <v>23</v>
      </c>
      <c r="C52" s="50">
        <f t="shared" si="3"/>
        <v>-136</v>
      </c>
      <c r="D52" s="7">
        <f t="shared" si="4"/>
        <v>-7.6533483398987059</v>
      </c>
      <c r="E52" s="50">
        <f t="shared" si="5"/>
        <v>-122</v>
      </c>
      <c r="F52" s="7">
        <f t="shared" si="6"/>
        <v>-6.9200226885989791</v>
      </c>
    </row>
    <row r="53" spans="2:6" x14ac:dyDescent="0.25">
      <c r="B53" s="175" t="s">
        <v>24</v>
      </c>
      <c r="C53" s="50">
        <f t="shared" si="3"/>
        <v>-109</v>
      </c>
      <c r="D53" s="7">
        <f t="shared" si="4"/>
        <v>-11.695278969957082</v>
      </c>
      <c r="E53" s="50">
        <f t="shared" si="5"/>
        <v>-43</v>
      </c>
      <c r="F53" s="7">
        <f t="shared" si="6"/>
        <v>-4.9653579676674369</v>
      </c>
    </row>
    <row r="54" spans="2:6" x14ac:dyDescent="0.25">
      <c r="B54" s="175" t="s">
        <v>25</v>
      </c>
      <c r="C54" s="50">
        <f t="shared" si="3"/>
        <v>-88</v>
      </c>
      <c r="D54" s="7">
        <f t="shared" si="4"/>
        <v>-6.8642745709828397</v>
      </c>
      <c r="E54" s="50">
        <f t="shared" si="5"/>
        <v>-107</v>
      </c>
      <c r="F54" s="7">
        <f t="shared" si="6"/>
        <v>-8.2244427363566484</v>
      </c>
    </row>
    <row r="55" spans="2:6" x14ac:dyDescent="0.25">
      <c r="B55" s="175" t="s">
        <v>26</v>
      </c>
      <c r="C55" s="50">
        <f t="shared" si="3"/>
        <v>28</v>
      </c>
      <c r="D55" s="7">
        <f t="shared" si="4"/>
        <v>2.0633750921149594</v>
      </c>
      <c r="E55" s="50">
        <f t="shared" si="5"/>
        <v>147</v>
      </c>
      <c r="F55" s="7">
        <f t="shared" si="6"/>
        <v>11.873990306946688</v>
      </c>
    </row>
    <row r="56" spans="2:6" x14ac:dyDescent="0.25">
      <c r="B56" s="175" t="s">
        <v>27</v>
      </c>
      <c r="C56" s="50">
        <f t="shared" si="3"/>
        <v>-79</v>
      </c>
      <c r="D56" s="7">
        <f t="shared" si="4"/>
        <v>-4.7220561864913329</v>
      </c>
      <c r="E56" s="50">
        <f t="shared" si="5"/>
        <v>-148</v>
      </c>
      <c r="F56" s="7">
        <f t="shared" si="6"/>
        <v>-8.4959816303099878</v>
      </c>
    </row>
    <row r="57" spans="2:6" x14ac:dyDescent="0.25">
      <c r="B57" s="176" t="s">
        <v>28</v>
      </c>
      <c r="C57" s="50">
        <f t="shared" si="3"/>
        <v>-121</v>
      </c>
      <c r="D57" s="7">
        <f t="shared" si="4"/>
        <v>-6.950028719126939</v>
      </c>
      <c r="E57" s="50">
        <f t="shared" si="5"/>
        <v>-135</v>
      </c>
      <c r="F57" s="7">
        <f t="shared" si="6"/>
        <v>-7.6923076923076925</v>
      </c>
    </row>
    <row r="58" spans="2:6" x14ac:dyDescent="0.25">
      <c r="B58" s="176" t="s">
        <v>29</v>
      </c>
      <c r="C58" s="50">
        <f t="shared" si="3"/>
        <v>-116</v>
      </c>
      <c r="D58" s="7">
        <f t="shared" si="4"/>
        <v>-5.7568238213399505</v>
      </c>
      <c r="E58" s="50">
        <f t="shared" si="5"/>
        <v>-60</v>
      </c>
      <c r="F58" s="7">
        <f t="shared" si="6"/>
        <v>-3.0627871362940278</v>
      </c>
    </row>
    <row r="59" spans="2:6" x14ac:dyDescent="0.25">
      <c r="B59" s="176" t="s">
        <v>30</v>
      </c>
      <c r="C59" s="50">
        <f t="shared" si="3"/>
        <v>-40</v>
      </c>
      <c r="D59" s="7">
        <f t="shared" si="4"/>
        <v>-2.9895366218236172</v>
      </c>
      <c r="E59" s="50">
        <f t="shared" si="5"/>
        <v>-107</v>
      </c>
      <c r="F59" s="7">
        <f t="shared" si="6"/>
        <v>-7.6156583629893237</v>
      </c>
    </row>
    <row r="60" spans="2:6" x14ac:dyDescent="0.25">
      <c r="B60" s="176" t="s">
        <v>31</v>
      </c>
      <c r="C60" s="50">
        <f t="shared" si="3"/>
        <v>-88</v>
      </c>
      <c r="D60" s="7">
        <f t="shared" si="4"/>
        <v>-3.3924441017733229</v>
      </c>
      <c r="E60" s="50">
        <f t="shared" si="5"/>
        <v>-216</v>
      </c>
      <c r="F60" s="7">
        <f t="shared" si="6"/>
        <v>-7.9353416605437177</v>
      </c>
    </row>
    <row r="61" spans="2:6" x14ac:dyDescent="0.25">
      <c r="B61" s="176" t="s">
        <v>32</v>
      </c>
      <c r="C61" s="50">
        <f t="shared" si="3"/>
        <v>41</v>
      </c>
      <c r="D61" s="7">
        <f t="shared" si="4"/>
        <v>2.930664760543245</v>
      </c>
      <c r="E61" s="50">
        <f t="shared" si="5"/>
        <v>118</v>
      </c>
      <c r="F61" s="7">
        <f t="shared" si="6"/>
        <v>8.9258698940998489</v>
      </c>
    </row>
    <row r="62" spans="2:6" x14ac:dyDescent="0.25">
      <c r="B62" s="176" t="s">
        <v>33</v>
      </c>
      <c r="C62" s="50">
        <f t="shared" si="3"/>
        <v>-14</v>
      </c>
      <c r="D62" s="7">
        <f t="shared" si="4"/>
        <v>-1.7879948914431674</v>
      </c>
      <c r="E62" s="50">
        <f t="shared" si="5"/>
        <v>5</v>
      </c>
      <c r="F62" s="7">
        <f t="shared" si="6"/>
        <v>0.65445026178010468</v>
      </c>
    </row>
    <row r="63" spans="2:6" x14ac:dyDescent="0.25">
      <c r="B63" s="176" t="s">
        <v>34</v>
      </c>
      <c r="C63" s="50">
        <f t="shared" si="3"/>
        <v>-81</v>
      </c>
      <c r="D63" s="7">
        <f t="shared" si="4"/>
        <v>-4.1559774243201639</v>
      </c>
      <c r="E63" s="50">
        <f t="shared" si="5"/>
        <v>-50</v>
      </c>
      <c r="F63" s="7">
        <f t="shared" si="6"/>
        <v>-2.6068821689259645</v>
      </c>
    </row>
    <row r="64" spans="2:6" x14ac:dyDescent="0.25">
      <c r="B64" s="176" t="s">
        <v>35</v>
      </c>
      <c r="C64" s="50">
        <f t="shared" si="3"/>
        <v>-3</v>
      </c>
      <c r="D64" s="7">
        <f t="shared" si="4"/>
        <v>-0.4854368932038835</v>
      </c>
      <c r="E64" s="50">
        <f t="shared" si="5"/>
        <v>-29</v>
      </c>
      <c r="F64" s="7">
        <f t="shared" si="6"/>
        <v>-4.5031055900621118</v>
      </c>
    </row>
    <row r="65" spans="2:6" x14ac:dyDescent="0.25">
      <c r="B65" s="176" t="s">
        <v>36</v>
      </c>
      <c r="C65" s="50">
        <f t="shared" si="3"/>
        <v>16</v>
      </c>
      <c r="D65" s="7">
        <f t="shared" si="4"/>
        <v>5.2631578947368425</v>
      </c>
      <c r="E65" s="50">
        <f t="shared" si="5"/>
        <v>18</v>
      </c>
      <c r="F65" s="7">
        <f t="shared" si="6"/>
        <v>5.9602649006622519</v>
      </c>
    </row>
    <row r="66" spans="2:6" x14ac:dyDescent="0.25">
      <c r="B66" s="176" t="s">
        <v>37</v>
      </c>
      <c r="C66" s="50">
        <f t="shared" si="3"/>
        <v>-54</v>
      </c>
      <c r="D66" s="7">
        <f t="shared" si="4"/>
        <v>-3.5952063914780292</v>
      </c>
      <c r="E66" s="50">
        <f t="shared" si="5"/>
        <v>-109</v>
      </c>
      <c r="F66" s="7">
        <f t="shared" si="6"/>
        <v>-7.0006422607578678</v>
      </c>
    </row>
    <row r="67" spans="2:6" x14ac:dyDescent="0.25">
      <c r="B67" s="176" t="s">
        <v>38</v>
      </c>
      <c r="C67" s="50">
        <f t="shared" si="3"/>
        <v>-124</v>
      </c>
      <c r="D67" s="7">
        <f t="shared" si="4"/>
        <v>-4.0012907389480477</v>
      </c>
      <c r="E67" s="50">
        <f t="shared" si="5"/>
        <v>-264</v>
      </c>
      <c r="F67" s="7">
        <f t="shared" si="6"/>
        <v>-8.1506637851188639</v>
      </c>
    </row>
    <row r="68" spans="2:6" ht="15.75" thickBot="1" x14ac:dyDescent="0.3">
      <c r="B68" s="177" t="s">
        <v>39</v>
      </c>
      <c r="C68" s="3">
        <f t="shared" si="3"/>
        <v>-1</v>
      </c>
      <c r="D68" s="8">
        <f t="shared" si="4"/>
        <v>-0.18382352941176472</v>
      </c>
      <c r="E68" s="3">
        <f t="shared" si="5"/>
        <v>6</v>
      </c>
      <c r="F68" s="8">
        <f t="shared" si="6"/>
        <v>1.1173184357541899</v>
      </c>
    </row>
  </sheetData>
  <mergeCells count="18">
    <mergeCell ref="B39:B42"/>
    <mergeCell ref="E39:E42"/>
    <mergeCell ref="F39:F42"/>
    <mergeCell ref="B3:B6"/>
    <mergeCell ref="I3:K3"/>
    <mergeCell ref="F3:H3"/>
    <mergeCell ref="C39:C42"/>
    <mergeCell ref="D39:D42"/>
    <mergeCell ref="I4:K4"/>
    <mergeCell ref="F4:H4"/>
    <mergeCell ref="I5:I6"/>
    <mergeCell ref="J5:K5"/>
    <mergeCell ref="F5:F6"/>
    <mergeCell ref="G5:H5"/>
    <mergeCell ref="C3:E3"/>
    <mergeCell ref="C4:E4"/>
    <mergeCell ref="C5:C6"/>
    <mergeCell ref="D5:E5"/>
  </mergeCells>
  <printOptions horizontalCentered="1" verticalCentered="1"/>
  <pageMargins left="0.31496062992125984" right="0.31496062992125984" top="0" bottom="0" header="0" footer="0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  <pageSetUpPr fitToPage="1"/>
  </sheetPr>
  <dimension ref="A1:K47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1.85546875" style="11" customWidth="1"/>
    <col min="2" max="2" width="7.28515625" style="11" customWidth="1"/>
    <col min="3" max="3" width="74.7109375" style="11" customWidth="1"/>
    <col min="4" max="4" width="12.5703125" style="11" customWidth="1"/>
    <col min="5" max="5" width="12.42578125" style="11" customWidth="1"/>
    <col min="6" max="6" width="14.140625" style="11" customWidth="1"/>
    <col min="7" max="7" width="8.42578125" style="11" customWidth="1"/>
    <col min="8" max="8" width="6.7109375" style="11" customWidth="1"/>
    <col min="9" max="9" width="5" style="11" customWidth="1"/>
    <col min="10" max="10" width="84.85546875" style="11" customWidth="1"/>
    <col min="11" max="11" width="8.140625" style="11" customWidth="1"/>
    <col min="12" max="16384" width="9.140625" style="11"/>
  </cols>
  <sheetData>
    <row r="1" spans="2:11" ht="12" customHeight="1" x14ac:dyDescent="0.25"/>
    <row r="2" spans="2:11" ht="16.5" customHeight="1" x14ac:dyDescent="0.25">
      <c r="C2" s="1127" t="s">
        <v>573</v>
      </c>
      <c r="D2" s="1127"/>
      <c r="E2" s="1127"/>
    </row>
    <row r="3" spans="2:11" ht="16.5" customHeight="1" x14ac:dyDescent="0.25">
      <c r="C3" s="1125" t="s">
        <v>574</v>
      </c>
      <c r="D3" s="1125"/>
      <c r="E3" s="1125"/>
    </row>
    <row r="4" spans="2:11" ht="14.25" customHeight="1" x14ac:dyDescent="0.25">
      <c r="C4" s="1126" t="s">
        <v>312</v>
      </c>
      <c r="D4" s="1126"/>
      <c r="E4" s="1126"/>
    </row>
    <row r="5" spans="2:11" ht="12" customHeight="1" thickBot="1" x14ac:dyDescent="0.3"/>
    <row r="6" spans="2:11" ht="45" customHeight="1" x14ac:dyDescent="0.25">
      <c r="B6" s="913"/>
      <c r="C6" s="915" t="s">
        <v>103</v>
      </c>
      <c r="D6" s="917" t="s">
        <v>346</v>
      </c>
      <c r="E6" s="920" t="s">
        <v>346</v>
      </c>
      <c r="F6" s="1128" t="s">
        <v>523</v>
      </c>
      <c r="I6" s="1124"/>
      <c r="J6" s="1124"/>
      <c r="K6" s="1124"/>
    </row>
    <row r="7" spans="2:11" ht="30" customHeight="1" thickBot="1" x14ac:dyDescent="0.3">
      <c r="B7" s="914" t="s">
        <v>348</v>
      </c>
      <c r="C7" s="916"/>
      <c r="D7" s="918" t="s">
        <v>474</v>
      </c>
      <c r="E7" s="919" t="s">
        <v>513</v>
      </c>
      <c r="F7" s="1129"/>
      <c r="I7" s="1124"/>
      <c r="J7" s="1124"/>
      <c r="K7" s="1124"/>
    </row>
    <row r="8" spans="2:11" ht="30" customHeight="1" thickBot="1" x14ac:dyDescent="0.3">
      <c r="B8" s="509" t="s">
        <v>93</v>
      </c>
      <c r="C8" s="511" t="s">
        <v>50</v>
      </c>
      <c r="D8" s="580">
        <f>SUM(D10,D11,D12,D13,D14,D15,D16,D17,D18,D19,D20,D21,D22,D23,D24,D25,D26,D27,D28,D29,D30)</f>
        <v>24036</v>
      </c>
      <c r="E8" s="585">
        <f>SUM(E10,E11,E12,E13,E14,E15,E16,E17,E18,E19,E20,E21,E22,E23,E24,E25,E26,E27,E28,E29,E30)</f>
        <v>21459</v>
      </c>
      <c r="F8" s="589">
        <f>SUM(F10,F11,F12,F13,F14,F15,F16,F17,F18,F19,F20,F21,F22,F23,F24,F25,F26,F27,F28,F29,F30)</f>
        <v>100.00000000000001</v>
      </c>
      <c r="I8" s="431"/>
      <c r="J8" s="431"/>
      <c r="K8" s="431"/>
    </row>
    <row r="9" spans="2:11" ht="18" customHeight="1" thickBot="1" x14ac:dyDescent="0.3">
      <c r="B9" s="925" t="s">
        <v>331</v>
      </c>
      <c r="C9" s="924" t="s">
        <v>281</v>
      </c>
      <c r="D9" s="923"/>
      <c r="E9" s="922"/>
      <c r="F9" s="921"/>
      <c r="I9" s="432"/>
      <c r="J9" s="432"/>
      <c r="K9" s="432"/>
    </row>
    <row r="10" spans="2:11" ht="18" customHeight="1" x14ac:dyDescent="0.25">
      <c r="B10" s="579" t="s">
        <v>158</v>
      </c>
      <c r="C10" s="584" t="s">
        <v>260</v>
      </c>
      <c r="D10" s="581">
        <v>265</v>
      </c>
      <c r="E10" s="586">
        <v>258</v>
      </c>
      <c r="F10" s="590">
        <f>SUM(E10/E31)*100</f>
        <v>1.2022927443030895</v>
      </c>
      <c r="H10" s="136">
        <v>1</v>
      </c>
      <c r="I10" s="424">
        <f>RANK(E10,$E$10:$E$30,1)+COUNTIF($E$10:E10,E10)-1</f>
        <v>9</v>
      </c>
      <c r="J10" s="812" t="str">
        <f>INDEX(C10:F30,MATCH(21,I10:I30,0),1)</f>
        <v>Przetwórstwo przemysłowe</v>
      </c>
      <c r="K10" s="821">
        <f>INDEX(C10:F30,MATCH(21,I10:I30,0),4)</f>
        <v>19.64676825574351</v>
      </c>
    </row>
    <row r="11" spans="2:11" ht="16.5" customHeight="1" x14ac:dyDescent="0.25">
      <c r="B11" s="510" t="s">
        <v>159</v>
      </c>
      <c r="C11" s="512" t="s">
        <v>261</v>
      </c>
      <c r="D11" s="582">
        <v>48</v>
      </c>
      <c r="E11" s="587">
        <v>27</v>
      </c>
      <c r="F11" s="591">
        <f>SUM(E11/E31)*100</f>
        <v>0.12582133370613729</v>
      </c>
      <c r="H11" s="136">
        <v>2</v>
      </c>
      <c r="I11" s="425">
        <f>RANK(E11,$E$10:$E$30,1)+COUNTIF($E$10:E11,E11)-1</f>
        <v>3</v>
      </c>
      <c r="J11" s="813" t="str">
        <f>INDEX(C10:F30,MATCH(20,I10:I30,0),1)</f>
        <v>Handel hurtowy i detaliczny; naprawa pojazdów samochodowych, włączając motocykle</v>
      </c>
      <c r="K11" s="820">
        <f>INDEX(C10:F30,MATCH(20,I10:I30,0),4)</f>
        <v>14.865557574910293</v>
      </c>
    </row>
    <row r="12" spans="2:11" ht="17.25" customHeight="1" x14ac:dyDescent="0.25">
      <c r="B12" s="510" t="s">
        <v>349</v>
      </c>
      <c r="C12" s="512" t="s">
        <v>262</v>
      </c>
      <c r="D12" s="582">
        <v>4511</v>
      </c>
      <c r="E12" s="587">
        <v>4216</v>
      </c>
      <c r="F12" s="591">
        <f>SUM(E12/E31)*100</f>
        <v>19.64676825574351</v>
      </c>
      <c r="H12" s="136">
        <v>3</v>
      </c>
      <c r="I12" s="425">
        <f>RANK(E12,$E$10:$E$30,1)+COUNTIF($E$10:E12,E12)-1</f>
        <v>21</v>
      </c>
      <c r="J12" s="813" t="str">
        <f>INDEX(C10:F30,MATCH(19,I10:I30,0),1)</f>
        <v>Budownictwo</v>
      </c>
      <c r="K12" s="820">
        <f>INDEX(C10:F30,MATCH(19,I10:I30,0),4)</f>
        <v>12.745235099492055</v>
      </c>
    </row>
    <row r="13" spans="2:11" ht="26.25" customHeight="1" x14ac:dyDescent="0.25">
      <c r="B13" s="513" t="s">
        <v>350</v>
      </c>
      <c r="C13" s="514" t="s">
        <v>263</v>
      </c>
      <c r="D13" s="582">
        <v>36</v>
      </c>
      <c r="E13" s="587">
        <v>28</v>
      </c>
      <c r="F13" s="591">
        <f>SUM(E13/E31)*100</f>
        <v>0.13048138310266089</v>
      </c>
      <c r="H13" s="136">
        <v>4</v>
      </c>
      <c r="I13" s="425">
        <f>RANK(E13,$E$10:$E$30,1)+COUNTIF($E$10:E13,E13)-1</f>
        <v>4</v>
      </c>
      <c r="J13" s="813" t="str">
        <f>INDEX(C10:F30,MATCH(18,I10:I30,0),1)</f>
        <v>Działalność w zakresie usług administrowania i działalność wspierająca</v>
      </c>
      <c r="K13" s="820">
        <f>INDEX(C10:F30,MATCH(18,I10:I30,0),4)</f>
        <v>10.410550351833729</v>
      </c>
    </row>
    <row r="14" spans="2:11" ht="18" customHeight="1" x14ac:dyDescent="0.25">
      <c r="B14" s="513" t="s">
        <v>351</v>
      </c>
      <c r="C14" s="514" t="s">
        <v>264</v>
      </c>
      <c r="D14" s="582">
        <v>332</v>
      </c>
      <c r="E14" s="587">
        <v>218</v>
      </c>
      <c r="F14" s="591">
        <f>SUM(E14/E31)*100</f>
        <v>1.0158907684421454</v>
      </c>
      <c r="H14" s="136">
        <v>5</v>
      </c>
      <c r="I14" s="425">
        <f>RANK(E14,$E$10:$E$30,1)+COUNTIF($E$10:E14,E14)-1</f>
        <v>8</v>
      </c>
      <c r="J14" s="813" t="str">
        <f>INDEX(C10:F30,MATCH(17,I10:I30,0),1)</f>
        <v>Administracja publiczna i obrona narodowa; obowiązkowe zabezpieczenia społeczne</v>
      </c>
      <c r="K14" s="820">
        <f>INDEX(C10:F30,MATCH(17,I10:I30,0),4)</f>
        <v>8.2482874318467783</v>
      </c>
    </row>
    <row r="15" spans="2:11" ht="17.25" customHeight="1" x14ac:dyDescent="0.25">
      <c r="B15" s="510" t="s">
        <v>352</v>
      </c>
      <c r="C15" s="512" t="s">
        <v>265</v>
      </c>
      <c r="D15" s="582">
        <v>3105</v>
      </c>
      <c r="E15" s="587">
        <v>2735</v>
      </c>
      <c r="F15" s="591">
        <f>SUM(E15/E31)*100</f>
        <v>12.745235099492055</v>
      </c>
      <c r="H15" s="136">
        <v>6</v>
      </c>
      <c r="I15" s="428">
        <f>RANK(E15,$E$10:$E$30,1)+COUNTIF($E$10:E15,E15)-1</f>
        <v>19</v>
      </c>
      <c r="J15" s="814" t="str">
        <f>INDEX(C10:F30,MATCH(16,I10:I30,0),1)</f>
        <v>Opieka zdrowotna i pomoc społeczna</v>
      </c>
      <c r="K15" s="819">
        <f>INDEX(C10:F30,MATCH(16,I10:I30,0),4)</f>
        <v>5.652639917983131</v>
      </c>
    </row>
    <row r="16" spans="2:11" ht="21" customHeight="1" x14ac:dyDescent="0.25">
      <c r="B16" s="510" t="s">
        <v>353</v>
      </c>
      <c r="C16" s="512" t="s">
        <v>266</v>
      </c>
      <c r="D16" s="582">
        <v>3384</v>
      </c>
      <c r="E16" s="587">
        <v>3190</v>
      </c>
      <c r="F16" s="591">
        <f>SUM(E16/E31)*100</f>
        <v>14.865557574910293</v>
      </c>
      <c r="H16" s="136">
        <v>7</v>
      </c>
      <c r="I16" s="428">
        <f>RANK(E16,$E$10:$E$30,1)+COUNTIF($E$10:E16,E16)-1</f>
        <v>20</v>
      </c>
      <c r="J16" s="814" t="str">
        <f>INDEX(C10:F30,MATCH(15,I10:I30,0),1)</f>
        <v>Transport i gospodarka magazynowa</v>
      </c>
      <c r="K16" s="819">
        <f>INDEX(C10:F30,MATCH(15,I10:I30,0),4)</f>
        <v>4.9909129036767785</v>
      </c>
    </row>
    <row r="17" spans="2:11" ht="17.25" customHeight="1" x14ac:dyDescent="0.25">
      <c r="B17" s="510" t="s">
        <v>355</v>
      </c>
      <c r="C17" s="512" t="s">
        <v>267</v>
      </c>
      <c r="D17" s="582">
        <v>1232</v>
      </c>
      <c r="E17" s="587">
        <v>1024</v>
      </c>
      <c r="F17" s="591">
        <f>SUM(E17/E31)*100</f>
        <v>4.7718905820401698</v>
      </c>
      <c r="H17" s="136">
        <v>8</v>
      </c>
      <c r="I17" s="426">
        <f>RANK(E17,$E$10:$E$30,1)+COUNTIF($E$10:E17,E17)-1</f>
        <v>13</v>
      </c>
      <c r="J17" s="815" t="str">
        <f>INDEX(C10:F30,MATCH(14,I10:I30,0),1)</f>
        <v>Edukacja</v>
      </c>
      <c r="K17" s="818">
        <f>INDEX(C10:F30,MATCH(14,I10:I30,0),4)</f>
        <v>4.865091569970641</v>
      </c>
    </row>
    <row r="18" spans="2:11" ht="18" customHeight="1" x14ac:dyDescent="0.25">
      <c r="B18" s="510" t="s">
        <v>354</v>
      </c>
      <c r="C18" s="512" t="s">
        <v>268</v>
      </c>
      <c r="D18" s="582">
        <v>993</v>
      </c>
      <c r="E18" s="587">
        <v>1071</v>
      </c>
      <c r="F18" s="591">
        <f>SUM(E18/E31)*100</f>
        <v>4.9909129036767785</v>
      </c>
      <c r="H18" s="136">
        <v>9</v>
      </c>
      <c r="I18" s="427">
        <f>RANK(E18,$E$10:$E$30,1)+COUNTIF($E$10:E18,E18)-1</f>
        <v>15</v>
      </c>
      <c r="J18" s="816" t="str">
        <f>INDEX(C10:F30,MATCH(13,I10:I30,0),1)</f>
        <v>Działalność związana z zakwaterowaniem i usługami gastronomicznymi</v>
      </c>
      <c r="K18" s="817">
        <f>INDEX(C10:F30,MATCH(13,I10:I30,0),4)</f>
        <v>4.7718905820401698</v>
      </c>
    </row>
    <row r="19" spans="2:11" ht="15.75" customHeight="1" x14ac:dyDescent="0.25">
      <c r="B19" s="515" t="s">
        <v>356</v>
      </c>
      <c r="C19" s="516" t="s">
        <v>269</v>
      </c>
      <c r="D19" s="582">
        <v>261</v>
      </c>
      <c r="E19" s="587">
        <v>150</v>
      </c>
      <c r="F19" s="591">
        <f>SUM(E19/E31)*100</f>
        <v>0.69900740947854045</v>
      </c>
      <c r="H19" s="136">
        <v>10</v>
      </c>
      <c r="I19" s="427">
        <f>RANK(E19,$E$10:$E$30,1)+COUNTIF($E$10:E19,E19)-1</f>
        <v>6</v>
      </c>
      <c r="J19" s="429" t="str">
        <f>INDEX(C10:F30,MATCH(12,I10:I30,0),1)</f>
        <v>Pozostała działalność usługowa</v>
      </c>
      <c r="K19" s="433">
        <f>INDEX(C10:F30,MATCH(12,I10:I30,0),4)</f>
        <v>4.0029824316137752</v>
      </c>
    </row>
    <row r="20" spans="2:11" ht="17.25" customHeight="1" x14ac:dyDescent="0.25">
      <c r="B20" s="515" t="s">
        <v>357</v>
      </c>
      <c r="C20" s="516" t="s">
        <v>282</v>
      </c>
      <c r="D20" s="582">
        <v>167</v>
      </c>
      <c r="E20" s="587">
        <v>150</v>
      </c>
      <c r="F20" s="591">
        <f>SUM(E20/E31)*100</f>
        <v>0.69900740947854045</v>
      </c>
      <c r="H20" s="136">
        <v>11</v>
      </c>
      <c r="I20" s="427">
        <f>RANK(E20,$E$10:$E$30,1)+COUNTIF($E$10:E20,E20)-1</f>
        <v>7</v>
      </c>
      <c r="J20" s="429" t="str">
        <f>INDEX(C10:F30,MATCH(11,I10:I30,0),1)</f>
        <v>Działalność profesjonalna, naukowa i techniczna</v>
      </c>
      <c r="K20" s="433">
        <f>INDEX(C10:F30,MATCH(11,I10:I30,0),4)</f>
        <v>3.3365953679109004</v>
      </c>
    </row>
    <row r="21" spans="2:11" ht="16.5" customHeight="1" x14ac:dyDescent="0.25">
      <c r="B21" s="517" t="s">
        <v>358</v>
      </c>
      <c r="C21" s="518" t="s">
        <v>270</v>
      </c>
      <c r="D21" s="582">
        <v>151</v>
      </c>
      <c r="E21" s="587">
        <v>147</v>
      </c>
      <c r="F21" s="591">
        <f>SUM(E21/E31)*100</f>
        <v>0.68502726128896962</v>
      </c>
      <c r="H21" s="136">
        <v>12</v>
      </c>
      <c r="I21" s="428">
        <f>RANK(E21,$E$10:$E$30,1)+COUNTIF($E$10:E21,E21)-1</f>
        <v>5</v>
      </c>
      <c r="J21" s="430" t="str">
        <f>INDEX(C10:F30,MATCH(10,I10:I30,0),1)</f>
        <v>Działalność związana z kulturą, rozrywką i rekreacją</v>
      </c>
      <c r="K21" s="292">
        <f>INDEX(C10:F30,MATCH(10,I10:I30,0),4)</f>
        <v>1.9059602031781537</v>
      </c>
    </row>
    <row r="22" spans="2:11" x14ac:dyDescent="0.25">
      <c r="B22" s="510" t="s">
        <v>359</v>
      </c>
      <c r="C22" s="512" t="s">
        <v>271</v>
      </c>
      <c r="D22" s="582">
        <v>857</v>
      </c>
      <c r="E22" s="587">
        <v>716</v>
      </c>
      <c r="F22" s="591">
        <f>SUM(E22/E31)*100</f>
        <v>3.3365953679109004</v>
      </c>
      <c r="H22" s="136">
        <v>13</v>
      </c>
      <c r="I22" s="427">
        <f>RANK(E22,$E$10:$E$30,1)+COUNTIF($E$10:E22,E22)-1</f>
        <v>11</v>
      </c>
      <c r="J22" s="429" t="str">
        <f>INDEX(C10:F30,MATCH(9,I10:I30,0),1)</f>
        <v>Rolnictwo, leśnictwo, łowiectwo i rybactwo</v>
      </c>
      <c r="K22" s="433">
        <f>INDEX(C10:F30,MATCH(9,I10:I30,0),4)</f>
        <v>1.2022927443030895</v>
      </c>
    </row>
    <row r="23" spans="2:11" ht="18" customHeight="1" x14ac:dyDescent="0.25">
      <c r="B23" s="510" t="s">
        <v>360</v>
      </c>
      <c r="C23" s="512" t="s">
        <v>272</v>
      </c>
      <c r="D23" s="582">
        <v>2610</v>
      </c>
      <c r="E23" s="587">
        <v>2234</v>
      </c>
      <c r="F23" s="591">
        <f>SUM(E23/E31)*100</f>
        <v>10.410550351833729</v>
      </c>
      <c r="H23" s="136">
        <v>14</v>
      </c>
      <c r="I23" s="427">
        <f>RANK(E23,$E$10:$E$30,1)+COUNTIF($E$10:E23,E23)-1</f>
        <v>18</v>
      </c>
      <c r="J23" s="429" t="str">
        <f>INDEX(C10:F30,MATCH(8,I10:I30,0),1)</f>
        <v>Dostawa wody, gospodarowanie ściekami i odpadami oraz działalność związana z rekultywacją</v>
      </c>
      <c r="K23" s="433">
        <f>INDEX(C10:F30,MATCH(8,I10:I30,0),4)</f>
        <v>1.0158907684421454</v>
      </c>
    </row>
    <row r="24" spans="2:11" ht="17.25" customHeight="1" x14ac:dyDescent="0.25">
      <c r="B24" s="510" t="s">
        <v>280</v>
      </c>
      <c r="C24" s="512" t="s">
        <v>273</v>
      </c>
      <c r="D24" s="582">
        <v>2160</v>
      </c>
      <c r="E24" s="587">
        <v>1770</v>
      </c>
      <c r="F24" s="591">
        <f>SUM(E24/E31)*100</f>
        <v>8.2482874318467783</v>
      </c>
      <c r="H24" s="136">
        <v>15</v>
      </c>
      <c r="I24" s="427">
        <f>RANK(E24,$E$10:$E$30,1)+COUNTIF($E$10:E24,E24)-1</f>
        <v>17</v>
      </c>
      <c r="J24" s="429" t="str">
        <f>INDEX(C10:F30,MATCH(7,I10:I30,0),1)</f>
        <v>Działalność finansowa i ubezpieczeniowa</v>
      </c>
      <c r="K24" s="433">
        <f>INDEX(C10:F30,MATCH(7,I10:I30,0),4)</f>
        <v>0.69900740947854045</v>
      </c>
    </row>
    <row r="25" spans="2:11" ht="19.5" customHeight="1" x14ac:dyDescent="0.25">
      <c r="B25" s="510" t="s">
        <v>361</v>
      </c>
      <c r="C25" s="512" t="s">
        <v>274</v>
      </c>
      <c r="D25" s="582">
        <v>1141</v>
      </c>
      <c r="E25" s="587">
        <v>1044</v>
      </c>
      <c r="F25" s="591">
        <f>SUM(E25/E31)*100</f>
        <v>4.865091569970641</v>
      </c>
      <c r="H25" s="136">
        <v>16</v>
      </c>
      <c r="I25" s="427">
        <f>RANK(E25,$E$10:$E$30,1)+COUNTIF($E$10:E25,E25)-1</f>
        <v>14</v>
      </c>
      <c r="J25" s="429" t="str">
        <f>INDEX(C10:F30,MATCH(6,I10:I30,0),1)</f>
        <v>Informacja i komunikacja</v>
      </c>
      <c r="K25" s="433">
        <f>INDEX(C10:F30,MATCH(6,I10:I30,0),4)</f>
        <v>0.69900740947854045</v>
      </c>
    </row>
    <row r="26" spans="2:11" ht="17.25" customHeight="1" x14ac:dyDescent="0.25">
      <c r="B26" s="926" t="s">
        <v>362</v>
      </c>
      <c r="C26" s="927" t="s">
        <v>275</v>
      </c>
      <c r="D26" s="928">
        <v>1499</v>
      </c>
      <c r="E26" s="929">
        <v>1213</v>
      </c>
      <c r="F26" s="930">
        <f>SUM(E26/E31)*100</f>
        <v>5.652639917983131</v>
      </c>
      <c r="H26" s="136">
        <v>17</v>
      </c>
      <c r="I26" s="427">
        <f>RANK(E26,$E$10:$E$30,1)+COUNTIF($E$10:E26,E26)-1</f>
        <v>16</v>
      </c>
      <c r="J26" s="429" t="str">
        <f>INDEX(C10:F30,MATCH(5,I10:I30,0),1)</f>
        <v>Działalność związana z obsługą rynku nieruchomości</v>
      </c>
      <c r="K26" s="433">
        <f>INDEX(C10:F30,MATCH(5,I10:I30,0),4)</f>
        <v>0.68502726128896962</v>
      </c>
    </row>
    <row r="27" spans="2:11" ht="17.25" customHeight="1" x14ac:dyDescent="0.25">
      <c r="B27" s="510" t="s">
        <v>363</v>
      </c>
      <c r="C27" s="512" t="s">
        <v>276</v>
      </c>
      <c r="D27" s="582">
        <v>428</v>
      </c>
      <c r="E27" s="587">
        <v>409</v>
      </c>
      <c r="F27" s="591">
        <f>SUM(E27/E31)*100</f>
        <v>1.9059602031781537</v>
      </c>
      <c r="H27" s="136">
        <v>18</v>
      </c>
      <c r="I27" s="428">
        <f>RANK(E27,$E$10:$E$30,1)+COUNTIF($E$10:E27,E27)-1</f>
        <v>10</v>
      </c>
      <c r="J27" s="430" t="str">
        <f>INDEX(C10:F30,MATCH(4,I10:I30,0),1)</f>
        <v>Wytwarzanie i zaopatrywanie w energię elektryczną, gaz, parę wodną, gorącą wodę i powietrze do układów klimatyzacyjnych</v>
      </c>
      <c r="K27" s="292">
        <f>INDEX(C10:F30,MATCH(4,I10:I30,0),4)</f>
        <v>0.13048138310266089</v>
      </c>
    </row>
    <row r="28" spans="2:11" ht="19.5" customHeight="1" x14ac:dyDescent="0.25">
      <c r="B28" s="510" t="s">
        <v>364</v>
      </c>
      <c r="C28" s="512" t="s">
        <v>277</v>
      </c>
      <c r="D28" s="582">
        <v>856</v>
      </c>
      <c r="E28" s="587">
        <v>859</v>
      </c>
      <c r="F28" s="591">
        <f>SUM(E28/E31)*100</f>
        <v>4.0029824316137752</v>
      </c>
      <c r="H28" s="136">
        <v>19</v>
      </c>
      <c r="I28" s="427">
        <f>RANK(E28,$E$10:$E$30,1)+COUNTIF($E$10:E28,E28)-1</f>
        <v>12</v>
      </c>
      <c r="J28" s="429" t="str">
        <f>INDEX(C10:F30,MATCH(3,I10:I30,0),1)</f>
        <v>Górnictwo i wydobywanie</v>
      </c>
      <c r="K28" s="433">
        <f>INDEX(C10:F30,MATCH(3,I10:I30,0),4)</f>
        <v>0.12582133370613729</v>
      </c>
    </row>
    <row r="29" spans="2:11" ht="26.25" customHeight="1" x14ac:dyDescent="0.25">
      <c r="B29" s="510" t="s">
        <v>365</v>
      </c>
      <c r="C29" s="512" t="s">
        <v>278</v>
      </c>
      <c r="D29" s="582">
        <v>0</v>
      </c>
      <c r="E29" s="587">
        <v>0</v>
      </c>
      <c r="F29" s="591">
        <f>SUM(E29/E31)*100</f>
        <v>0</v>
      </c>
      <c r="H29" s="136">
        <v>20</v>
      </c>
      <c r="I29" s="427">
        <f>RANK(E29,$E$10:$E$30,1)+COUNTIF($E$10:E29,E29)-1</f>
        <v>1</v>
      </c>
      <c r="J29" s="429" t="str">
        <f>INDEX(C10:F30,MATCH(2,I10:I30,0),1)</f>
        <v>Działalność niezidentyfikowana</v>
      </c>
      <c r="K29" s="433">
        <f>INDEX(C10:F30,MATCH(2,I10:I30,0),4)</f>
        <v>0</v>
      </c>
    </row>
    <row r="30" spans="2:11" ht="18.75" customHeight="1" thickBot="1" x14ac:dyDescent="0.3">
      <c r="B30" s="510" t="s">
        <v>366</v>
      </c>
      <c r="C30" s="512" t="s">
        <v>279</v>
      </c>
      <c r="D30" s="583">
        <v>0</v>
      </c>
      <c r="E30" s="588">
        <v>0</v>
      </c>
      <c r="F30" s="592">
        <f>SUM(E30/E31)*100</f>
        <v>0</v>
      </c>
      <c r="H30" s="136">
        <v>21</v>
      </c>
      <c r="I30" s="576">
        <f>RANK(E30,$E$10:$E$30,1)+COUNTIF($E$10:E30,E30)-1</f>
        <v>2</v>
      </c>
      <c r="J30" s="577" t="str">
        <f>INDEX(C10:F30,MATCH(1,I10:I30,0),1)</f>
        <v>Gospodarstwa domowe zatrudniające pracowników; gospodarstwa domowe produkujące wyroby i świadczące usługi na własne potrzeby</v>
      </c>
      <c r="K30" s="578">
        <f>INDEX(C10:F30,MATCH(1,I10:I30,0),4)</f>
        <v>0</v>
      </c>
    </row>
    <row r="31" spans="2:11" ht="16.5" customHeight="1" thickBot="1" x14ac:dyDescent="0.3">
      <c r="B31" s="935" t="s">
        <v>93</v>
      </c>
      <c r="C31" s="934" t="s">
        <v>50</v>
      </c>
      <c r="D31" s="933">
        <f>SUM(D10:D30)</f>
        <v>24036</v>
      </c>
      <c r="E31" s="932">
        <f>SUM(E10:E30)</f>
        <v>21459</v>
      </c>
      <c r="F31" s="931">
        <f>SUM(E31/E31)*100</f>
        <v>100</v>
      </c>
      <c r="I31" s="573"/>
      <c r="J31" s="574"/>
      <c r="K31" s="575"/>
    </row>
    <row r="32" spans="2:11" x14ac:dyDescent="0.25">
      <c r="C32" s="11" t="s">
        <v>531</v>
      </c>
      <c r="E32" s="361"/>
    </row>
    <row r="33" spans="1:8" x14ac:dyDescent="0.25">
      <c r="C33" s="11" t="s">
        <v>347</v>
      </c>
      <c r="E33" s="361"/>
    </row>
    <row r="34" spans="1:8" x14ac:dyDescent="0.25">
      <c r="F34" s="11" t="s">
        <v>158</v>
      </c>
      <c r="G34" s="361">
        <f>SUM(E10)</f>
        <v>258</v>
      </c>
      <c r="H34" s="296">
        <f>SUM(G34/G38)*100</f>
        <v>1.2022927443030895</v>
      </c>
    </row>
    <row r="35" spans="1:8" x14ac:dyDescent="0.25">
      <c r="F35" s="11" t="s">
        <v>367</v>
      </c>
      <c r="G35" s="361">
        <f>SUM(E11:E15)</f>
        <v>7224</v>
      </c>
      <c r="H35" s="811">
        <f>SUM(G35/G38)*100</f>
        <v>33.664196840486511</v>
      </c>
    </row>
    <row r="36" spans="1:8" x14ac:dyDescent="0.25">
      <c r="F36" s="11" t="s">
        <v>353</v>
      </c>
      <c r="G36" s="361">
        <f>SUM(E16)</f>
        <v>3190</v>
      </c>
      <c r="H36" s="296">
        <f>SUM(G36/G38)*100</f>
        <v>14.865557574910293</v>
      </c>
    </row>
    <row r="37" spans="1:8" x14ac:dyDescent="0.25">
      <c r="F37" s="11" t="s">
        <v>368</v>
      </c>
      <c r="G37" s="361">
        <f>SUM(E17:E30)</f>
        <v>10787</v>
      </c>
      <c r="H37" s="296">
        <f>SUM(G37/G38)*100</f>
        <v>50.267952840300111</v>
      </c>
    </row>
    <row r="38" spans="1:8" x14ac:dyDescent="0.25">
      <c r="G38" s="361">
        <f>SUM(G34:G37)</f>
        <v>21459</v>
      </c>
      <c r="H38" s="296">
        <f>SUM(H34:H37)</f>
        <v>100</v>
      </c>
    </row>
    <row r="40" spans="1:8" x14ac:dyDescent="0.25">
      <c r="F40" s="11" t="s">
        <v>158</v>
      </c>
      <c r="G40" s="361">
        <f>SUM(D10)</f>
        <v>265</v>
      </c>
      <c r="H40" s="296">
        <f>SUM(G40/G44)*100</f>
        <v>1.1025128973206855</v>
      </c>
    </row>
    <row r="41" spans="1:8" x14ac:dyDescent="0.25">
      <c r="F41" s="11" t="s">
        <v>367</v>
      </c>
      <c r="G41" s="361">
        <f>SUM(D11:D15)</f>
        <v>8032</v>
      </c>
      <c r="H41" s="811">
        <f>SUM(G41/G44)*100</f>
        <v>33.416541853885839</v>
      </c>
    </row>
    <row r="42" spans="1:8" x14ac:dyDescent="0.25">
      <c r="F42" s="11" t="s">
        <v>353</v>
      </c>
      <c r="G42" s="361">
        <f>SUM(D16)</f>
        <v>3384</v>
      </c>
      <c r="H42" s="296">
        <f>SUM(G42/G44)*100</f>
        <v>14.078881677483773</v>
      </c>
    </row>
    <row r="43" spans="1:8" x14ac:dyDescent="0.25">
      <c r="F43" s="11" t="s">
        <v>368</v>
      </c>
      <c r="G43" s="361">
        <f>SUM(D17:D30)</f>
        <v>12355</v>
      </c>
      <c r="H43" s="296">
        <f>SUM(G43/G44)*100</f>
        <v>51.402063571309696</v>
      </c>
    </row>
    <row r="44" spans="1:8" x14ac:dyDescent="0.25">
      <c r="G44" s="361">
        <f>SUM(G40:G43)</f>
        <v>24036</v>
      </c>
      <c r="H44" s="296">
        <f>SUM(H40:H43)</f>
        <v>100</v>
      </c>
    </row>
    <row r="47" spans="1:8" x14ac:dyDescent="0.25">
      <c r="A47" s="651"/>
    </row>
  </sheetData>
  <mergeCells count="7">
    <mergeCell ref="K6:K7"/>
    <mergeCell ref="C3:E3"/>
    <mergeCell ref="C4:E4"/>
    <mergeCell ref="C2:E2"/>
    <mergeCell ref="F6:F7"/>
    <mergeCell ref="I6:I7"/>
    <mergeCell ref="J6:J7"/>
  </mergeCells>
  <printOptions horizontalCentered="1"/>
  <pageMargins left="0.31496062992125984" right="0" top="1.7322834645669292" bottom="0" header="0" footer="0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B1:J20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4.42578125" style="11" customWidth="1"/>
    <col min="2" max="2" width="53.7109375" style="11" customWidth="1"/>
    <col min="3" max="3" width="9.28515625" style="11" customWidth="1"/>
    <col min="4" max="4" width="9.85546875" style="11" customWidth="1"/>
    <col min="5" max="5" width="10" style="11" customWidth="1"/>
    <col min="6" max="6" width="9.42578125" style="11" customWidth="1"/>
    <col min="7" max="7" width="12.5703125" style="11" customWidth="1"/>
    <col min="8" max="8" width="12.28515625" style="11" customWidth="1"/>
    <col min="9" max="9" width="2.7109375" style="11" customWidth="1"/>
    <col min="10" max="10" width="6.28515625" style="11" customWidth="1"/>
    <col min="11" max="16384" width="9.140625" style="11"/>
  </cols>
  <sheetData>
    <row r="1" spans="2:9" ht="12.75" customHeight="1" x14ac:dyDescent="0.25"/>
    <row r="2" spans="2:9" x14ac:dyDescent="0.25">
      <c r="B2" s="11" t="s">
        <v>575</v>
      </c>
    </row>
    <row r="3" spans="2:9" x14ac:dyDescent="0.25">
      <c r="B3" s="11" t="s">
        <v>558</v>
      </c>
    </row>
    <row r="4" spans="2:9" ht="12.75" customHeight="1" thickBot="1" x14ac:dyDescent="0.3"/>
    <row r="5" spans="2:9" ht="49.5" customHeight="1" x14ac:dyDescent="0.25">
      <c r="B5" s="1130" t="s">
        <v>157</v>
      </c>
      <c r="C5" s="1132" t="s">
        <v>175</v>
      </c>
      <c r="D5" s="1134" t="s">
        <v>106</v>
      </c>
      <c r="E5" s="1135"/>
      <c r="F5" s="1136"/>
      <c r="G5" s="1130" t="s">
        <v>530</v>
      </c>
      <c r="H5" s="1137"/>
      <c r="I5" s="403"/>
    </row>
    <row r="6" spans="2:9" ht="48" customHeight="1" thickBot="1" x14ac:dyDescent="0.3">
      <c r="B6" s="1131"/>
      <c r="C6" s="1133"/>
      <c r="D6" s="729" t="s">
        <v>423</v>
      </c>
      <c r="E6" s="847" t="s">
        <v>481</v>
      </c>
      <c r="F6" s="730" t="s">
        <v>482</v>
      </c>
      <c r="G6" s="731" t="s">
        <v>373</v>
      </c>
      <c r="H6" s="732" t="s">
        <v>374</v>
      </c>
      <c r="I6" s="403"/>
    </row>
    <row r="7" spans="2:9" ht="36" customHeight="1" x14ac:dyDescent="0.25">
      <c r="B7" s="564" t="s">
        <v>164</v>
      </c>
      <c r="C7" s="568">
        <v>1</v>
      </c>
      <c r="D7" s="351">
        <v>543</v>
      </c>
      <c r="E7" s="188">
        <v>531</v>
      </c>
      <c r="F7" s="189">
        <v>524</v>
      </c>
      <c r="G7" s="354">
        <f t="shared" ref="G7:G19" si="0">SUM(F7)-E7</f>
        <v>-7</v>
      </c>
      <c r="H7" s="356">
        <f t="shared" ref="H7:H19" si="1">SUM(F7-E7)/E7*100</f>
        <v>-1.3182674199623352</v>
      </c>
      <c r="I7" s="401"/>
    </row>
    <row r="8" spans="2:9" ht="24" customHeight="1" x14ac:dyDescent="0.25">
      <c r="B8" s="565" t="s">
        <v>165</v>
      </c>
      <c r="C8" s="569">
        <v>2</v>
      </c>
      <c r="D8" s="352">
        <v>7390</v>
      </c>
      <c r="E8" s="131">
        <v>7602</v>
      </c>
      <c r="F8" s="132">
        <v>7370</v>
      </c>
      <c r="G8" s="352">
        <f t="shared" si="0"/>
        <v>-232</v>
      </c>
      <c r="H8" s="208">
        <f t="shared" si="1"/>
        <v>-3.0518284661931072</v>
      </c>
      <c r="I8" s="401"/>
    </row>
    <row r="9" spans="2:9" ht="23.25" customHeight="1" x14ac:dyDescent="0.25">
      <c r="B9" s="565" t="s">
        <v>166</v>
      </c>
      <c r="C9" s="569">
        <v>3</v>
      </c>
      <c r="D9" s="352">
        <v>9348</v>
      </c>
      <c r="E9" s="131">
        <v>9844</v>
      </c>
      <c r="F9" s="132">
        <v>9273</v>
      </c>
      <c r="G9" s="352">
        <f t="shared" si="0"/>
        <v>-571</v>
      </c>
      <c r="H9" s="208">
        <f t="shared" si="1"/>
        <v>-5.8004876066639577</v>
      </c>
      <c r="I9" s="401"/>
    </row>
    <row r="10" spans="2:9" ht="22.5" customHeight="1" x14ac:dyDescent="0.25">
      <c r="B10" s="565" t="s">
        <v>167</v>
      </c>
      <c r="C10" s="569">
        <v>4</v>
      </c>
      <c r="D10" s="352">
        <v>2867</v>
      </c>
      <c r="E10" s="131">
        <v>2943</v>
      </c>
      <c r="F10" s="132">
        <v>2852</v>
      </c>
      <c r="G10" s="352">
        <f t="shared" si="0"/>
        <v>-91</v>
      </c>
      <c r="H10" s="208">
        <f t="shared" si="1"/>
        <v>-3.0920829085966699</v>
      </c>
      <c r="I10" s="401"/>
    </row>
    <row r="11" spans="2:9" ht="24.75" customHeight="1" x14ac:dyDescent="0.25">
      <c r="B11" s="565" t="s">
        <v>168</v>
      </c>
      <c r="C11" s="569">
        <v>5</v>
      </c>
      <c r="D11" s="352">
        <v>12482</v>
      </c>
      <c r="E11" s="131">
        <v>12830</v>
      </c>
      <c r="F11" s="132">
        <v>12069</v>
      </c>
      <c r="G11" s="352">
        <f t="shared" si="0"/>
        <v>-761</v>
      </c>
      <c r="H11" s="208">
        <f t="shared" si="1"/>
        <v>-5.9314107560405303</v>
      </c>
      <c r="I11" s="401"/>
    </row>
    <row r="12" spans="2:9" ht="24" customHeight="1" x14ac:dyDescent="0.25">
      <c r="B12" s="565" t="s">
        <v>169</v>
      </c>
      <c r="C12" s="569">
        <v>6</v>
      </c>
      <c r="D12" s="352">
        <v>925</v>
      </c>
      <c r="E12" s="131">
        <v>996</v>
      </c>
      <c r="F12" s="132">
        <v>854</v>
      </c>
      <c r="G12" s="352">
        <f t="shared" si="0"/>
        <v>-142</v>
      </c>
      <c r="H12" s="208">
        <f t="shared" si="1"/>
        <v>-14.257028112449799</v>
      </c>
      <c r="I12" s="401"/>
    </row>
    <row r="13" spans="2:9" ht="21.75" customHeight="1" x14ac:dyDescent="0.25">
      <c r="B13" s="565" t="s">
        <v>170</v>
      </c>
      <c r="C13" s="569">
        <v>7</v>
      </c>
      <c r="D13" s="352">
        <v>14560</v>
      </c>
      <c r="E13" s="131">
        <v>15435</v>
      </c>
      <c r="F13" s="132">
        <v>14412</v>
      </c>
      <c r="G13" s="352">
        <f>SUM(F13)-E13</f>
        <v>-1023</v>
      </c>
      <c r="H13" s="208">
        <f t="shared" si="1"/>
        <v>-6.6277939747327501</v>
      </c>
      <c r="I13" s="401"/>
    </row>
    <row r="14" spans="2:9" ht="25.5" customHeight="1" x14ac:dyDescent="0.25">
      <c r="B14" s="565" t="s">
        <v>171</v>
      </c>
      <c r="C14" s="569">
        <v>8</v>
      </c>
      <c r="D14" s="352">
        <v>3434</v>
      </c>
      <c r="E14" s="131">
        <v>3536</v>
      </c>
      <c r="F14" s="132">
        <v>3344</v>
      </c>
      <c r="G14" s="352">
        <f t="shared" si="0"/>
        <v>-192</v>
      </c>
      <c r="H14" s="208">
        <f t="shared" si="1"/>
        <v>-5.4298642533936654</v>
      </c>
      <c r="I14" s="401"/>
    </row>
    <row r="15" spans="2:9" ht="21" customHeight="1" x14ac:dyDescent="0.25">
      <c r="B15" s="565" t="s">
        <v>172</v>
      </c>
      <c r="C15" s="569">
        <v>9</v>
      </c>
      <c r="D15" s="352">
        <v>5211</v>
      </c>
      <c r="E15" s="131">
        <v>5447</v>
      </c>
      <c r="F15" s="132">
        <v>5056</v>
      </c>
      <c r="G15" s="352">
        <f t="shared" si="0"/>
        <v>-391</v>
      </c>
      <c r="H15" s="208">
        <f t="shared" si="1"/>
        <v>-7.1782632641821191</v>
      </c>
      <c r="I15" s="401"/>
    </row>
    <row r="16" spans="2:9" ht="22.5" customHeight="1" thickBot="1" x14ac:dyDescent="0.3">
      <c r="B16" s="566" t="s">
        <v>179</v>
      </c>
      <c r="C16" s="570">
        <v>0</v>
      </c>
      <c r="D16" s="353">
        <v>30</v>
      </c>
      <c r="E16" s="193">
        <v>28</v>
      </c>
      <c r="F16" s="194">
        <v>37</v>
      </c>
      <c r="G16" s="372">
        <f t="shared" si="0"/>
        <v>9</v>
      </c>
      <c r="H16" s="209">
        <f t="shared" si="1"/>
        <v>32.142857142857146</v>
      </c>
      <c r="I16" s="401"/>
    </row>
    <row r="17" spans="2:10" ht="24" customHeight="1" x14ac:dyDescent="0.25">
      <c r="B17" s="564" t="s">
        <v>173</v>
      </c>
      <c r="C17" s="571" t="s">
        <v>158</v>
      </c>
      <c r="D17" s="595">
        <v>8274</v>
      </c>
      <c r="E17" s="223">
        <v>8461</v>
      </c>
      <c r="F17" s="224">
        <v>8023</v>
      </c>
      <c r="G17" s="354">
        <f>SUM(F17)-E17</f>
        <v>-438</v>
      </c>
      <c r="H17" s="356">
        <f t="shared" si="1"/>
        <v>-5.1766930622857821</v>
      </c>
      <c r="I17" s="401"/>
      <c r="J17" s="296">
        <f>SUM(F17/F19*100)</f>
        <v>12.57247625912809</v>
      </c>
    </row>
    <row r="18" spans="2:10" ht="26.25" customHeight="1" thickBot="1" x14ac:dyDescent="0.3">
      <c r="B18" s="567" t="s">
        <v>174</v>
      </c>
      <c r="C18" s="572" t="s">
        <v>159</v>
      </c>
      <c r="D18" s="355">
        <f>SUM(D7:D16)</f>
        <v>56790</v>
      </c>
      <c r="E18" s="133">
        <f>SUM(E7:E16)</f>
        <v>59192</v>
      </c>
      <c r="F18" s="133">
        <f>SUM(F7:F16)</f>
        <v>55791</v>
      </c>
      <c r="G18" s="355">
        <f t="shared" si="0"/>
        <v>-3401</v>
      </c>
      <c r="H18" s="227">
        <f t="shared" si="1"/>
        <v>-5.7457088795783218</v>
      </c>
      <c r="I18" s="401"/>
      <c r="J18" s="296">
        <f>SUM(D17/D19*100)</f>
        <v>12.716709701217264</v>
      </c>
    </row>
    <row r="19" spans="2:10" ht="23.25" customHeight="1" thickBot="1" x14ac:dyDescent="0.3">
      <c r="B19" s="733" t="s">
        <v>50</v>
      </c>
      <c r="C19" s="734" t="s">
        <v>160</v>
      </c>
      <c r="D19" s="735">
        <f>SUM(D17:D18)</f>
        <v>65064</v>
      </c>
      <c r="E19" s="736">
        <f>SUM(E17:E18)</f>
        <v>67653</v>
      </c>
      <c r="F19" s="737">
        <f>SUM(F17:F18)</f>
        <v>63814</v>
      </c>
      <c r="G19" s="735">
        <f t="shared" si="0"/>
        <v>-3839</v>
      </c>
      <c r="H19" s="738">
        <f t="shared" si="1"/>
        <v>-5.6745451051690248</v>
      </c>
      <c r="I19" s="402"/>
    </row>
    <row r="20" spans="2:10" x14ac:dyDescent="0.25">
      <c r="D20" s="136">
        <f>SUM(D7:D17)</f>
        <v>65064</v>
      </c>
      <c r="E20" s="136">
        <f>SUM(E7:E17)</f>
        <v>67653</v>
      </c>
      <c r="F20" s="136">
        <f>SUM(F7:F17)</f>
        <v>63814</v>
      </c>
      <c r="G20" s="361">
        <f>SUM(G7:G17)</f>
        <v>-3839</v>
      </c>
      <c r="H20" s="296"/>
    </row>
  </sheetData>
  <mergeCells count="4">
    <mergeCell ref="B5:B6"/>
    <mergeCell ref="C5:C6"/>
    <mergeCell ref="D5:F5"/>
    <mergeCell ref="G5:H5"/>
  </mergeCells>
  <printOptions horizontalCentered="1"/>
  <pageMargins left="0.6692913385826772" right="0.6692913385826772" top="1.3779527559055118" bottom="0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1:G66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140625" style="11" customWidth="1"/>
    <col min="2" max="2" width="64.85546875" style="11" customWidth="1"/>
    <col min="3" max="3" width="10.85546875" style="11" customWidth="1"/>
    <col min="4" max="4" width="12.85546875" style="11" customWidth="1"/>
    <col min="5" max="5" width="9" style="11" customWidth="1"/>
    <col min="6" max="6" width="13.140625" style="11" customWidth="1"/>
    <col min="7" max="16384" width="9.140625" style="11"/>
  </cols>
  <sheetData>
    <row r="1" spans="2:7" ht="11.25" customHeight="1" x14ac:dyDescent="0.25"/>
    <row r="2" spans="2:7" x14ac:dyDescent="0.25">
      <c r="B2" s="11" t="s">
        <v>576</v>
      </c>
    </row>
    <row r="3" spans="2:7" x14ac:dyDescent="0.25">
      <c r="B3" s="11" t="s">
        <v>559</v>
      </c>
    </row>
    <row r="4" spans="2:7" ht="13.5" customHeight="1" thickBot="1" x14ac:dyDescent="0.3"/>
    <row r="5" spans="2:7" ht="75.75" customHeight="1" thickBot="1" x14ac:dyDescent="0.3">
      <c r="B5" s="936" t="s">
        <v>157</v>
      </c>
      <c r="C5" s="937" t="s">
        <v>175</v>
      </c>
      <c r="D5" s="739" t="s">
        <v>446</v>
      </c>
      <c r="E5" s="740" t="s">
        <v>375</v>
      </c>
      <c r="F5" s="937" t="s">
        <v>514</v>
      </c>
      <c r="G5" s="938" t="s">
        <v>376</v>
      </c>
    </row>
    <row r="6" spans="2:7" ht="28.5" x14ac:dyDescent="0.25">
      <c r="B6" s="213" t="s">
        <v>220</v>
      </c>
      <c r="C6" s="214">
        <v>1</v>
      </c>
      <c r="D6" s="214">
        <f>SUM(D7:D10)</f>
        <v>543</v>
      </c>
      <c r="E6" s="225">
        <f>SUM(D6/D60)*100</f>
        <v>0.95615425250924457</v>
      </c>
      <c r="F6" s="214">
        <f>SUM(F7:F10)</f>
        <v>524</v>
      </c>
      <c r="G6" s="225">
        <f>SUM(F6/F60)*100</f>
        <v>0.93921958738864686</v>
      </c>
    </row>
    <row r="7" spans="2:7" ht="30" x14ac:dyDescent="0.25">
      <c r="B7" s="190" t="s">
        <v>221</v>
      </c>
      <c r="C7" s="191">
        <v>11</v>
      </c>
      <c r="D7" s="191">
        <v>55</v>
      </c>
      <c r="E7" s="208">
        <f>SUM(D7)/D6*100</f>
        <v>10.128913443830571</v>
      </c>
      <c r="F7" s="191">
        <v>52</v>
      </c>
      <c r="G7" s="208">
        <f>SUM(F7)/F6*100</f>
        <v>9.9236641221374047</v>
      </c>
    </row>
    <row r="8" spans="2:7" x14ac:dyDescent="0.25">
      <c r="B8" s="190" t="s">
        <v>176</v>
      </c>
      <c r="C8" s="191">
        <v>12</v>
      </c>
      <c r="D8" s="191">
        <v>116</v>
      </c>
      <c r="E8" s="208">
        <f>SUM(D8)/D6*100</f>
        <v>21.36279926335175</v>
      </c>
      <c r="F8" s="191">
        <v>96</v>
      </c>
      <c r="G8" s="208">
        <f>SUM(F8)/F6*100</f>
        <v>18.320610687022899</v>
      </c>
    </row>
    <row r="9" spans="2:7" x14ac:dyDescent="0.25">
      <c r="B9" s="190" t="s">
        <v>177</v>
      </c>
      <c r="C9" s="191">
        <v>13</v>
      </c>
      <c r="D9" s="191">
        <v>93</v>
      </c>
      <c r="E9" s="208">
        <f>SUM(D9)/D6*100</f>
        <v>17.127071823204421</v>
      </c>
      <c r="F9" s="191">
        <v>73</v>
      </c>
      <c r="G9" s="208">
        <f>SUM(F9)/F6*100</f>
        <v>13.931297709923665</v>
      </c>
    </row>
    <row r="10" spans="2:7" ht="18" customHeight="1" x14ac:dyDescent="0.25">
      <c r="B10" s="190" t="s">
        <v>178</v>
      </c>
      <c r="C10" s="191">
        <v>14</v>
      </c>
      <c r="D10" s="191">
        <v>279</v>
      </c>
      <c r="E10" s="209">
        <f>SUM(D10)/D6*100</f>
        <v>51.381215469613259</v>
      </c>
      <c r="F10" s="191">
        <v>303</v>
      </c>
      <c r="G10" s="209">
        <f>SUM(F10)/F6*100</f>
        <v>57.824427480916029</v>
      </c>
    </row>
    <row r="11" spans="2:7" x14ac:dyDescent="0.25">
      <c r="B11" s="210" t="s">
        <v>165</v>
      </c>
      <c r="C11" s="211">
        <v>2</v>
      </c>
      <c r="D11" s="212">
        <f>SUM(D12:D17)</f>
        <v>7390</v>
      </c>
      <c r="E11" s="226">
        <f>SUM(D11/D60)*100</f>
        <v>13.012854375770383</v>
      </c>
      <c r="F11" s="212">
        <f>SUM(F12:F17)</f>
        <v>7370</v>
      </c>
      <c r="G11" s="226">
        <f>SUM(F11/F60)*100</f>
        <v>13.210015952393755</v>
      </c>
    </row>
    <row r="12" spans="2:7" x14ac:dyDescent="0.25">
      <c r="B12" s="190" t="s">
        <v>181</v>
      </c>
      <c r="C12" s="191">
        <v>21</v>
      </c>
      <c r="D12" s="131">
        <v>1504</v>
      </c>
      <c r="E12" s="208">
        <f>SUM(D12)/D11*100</f>
        <v>20.351826792963465</v>
      </c>
      <c r="F12" s="131">
        <v>1451</v>
      </c>
      <c r="G12" s="208">
        <f>SUM(F12)/F11*100</f>
        <v>19.687924016282224</v>
      </c>
    </row>
    <row r="13" spans="2:7" x14ac:dyDescent="0.25">
      <c r="B13" s="190" t="s">
        <v>182</v>
      </c>
      <c r="C13" s="191">
        <v>22</v>
      </c>
      <c r="D13" s="191">
        <v>428</v>
      </c>
      <c r="E13" s="208">
        <f>SUM(D13)/D11*100</f>
        <v>5.7916102841677937</v>
      </c>
      <c r="F13" s="191">
        <v>432</v>
      </c>
      <c r="G13" s="208">
        <f>SUM(F13)/F11*100</f>
        <v>5.8616010854816825</v>
      </c>
    </row>
    <row r="14" spans="2:7" x14ac:dyDescent="0.25">
      <c r="B14" s="190" t="s">
        <v>183</v>
      </c>
      <c r="C14" s="191">
        <v>23</v>
      </c>
      <c r="D14" s="131">
        <v>1102</v>
      </c>
      <c r="E14" s="208">
        <f>SUM(D14)/D11*100</f>
        <v>14.912043301759134</v>
      </c>
      <c r="F14" s="131">
        <v>1047</v>
      </c>
      <c r="G14" s="208">
        <f>SUM(F14)/F11*100</f>
        <v>14.206241519674357</v>
      </c>
    </row>
    <row r="15" spans="2:7" x14ac:dyDescent="0.25">
      <c r="B15" s="190" t="s">
        <v>184</v>
      </c>
      <c r="C15" s="191">
        <v>24</v>
      </c>
      <c r="D15" s="131">
        <v>2478</v>
      </c>
      <c r="E15" s="208">
        <f>SUM(D15)/D11*100</f>
        <v>33.531799729364003</v>
      </c>
      <c r="F15" s="131">
        <v>2499</v>
      </c>
      <c r="G15" s="208">
        <f>SUM(F15)/F11*100</f>
        <v>33.907734056987785</v>
      </c>
    </row>
    <row r="16" spans="2:7" x14ac:dyDescent="0.25">
      <c r="B16" s="190" t="s">
        <v>185</v>
      </c>
      <c r="C16" s="191">
        <v>25</v>
      </c>
      <c r="D16" s="191">
        <v>197</v>
      </c>
      <c r="E16" s="208">
        <f>SUM(D16)/D11*100</f>
        <v>2.6657645466847089</v>
      </c>
      <c r="F16" s="191">
        <v>259</v>
      </c>
      <c r="G16" s="208">
        <f>SUM(F16)/F11*100</f>
        <v>3.5142469470827677</v>
      </c>
    </row>
    <row r="17" spans="2:7" x14ac:dyDescent="0.25">
      <c r="B17" s="190" t="s">
        <v>186</v>
      </c>
      <c r="C17" s="191">
        <v>26</v>
      </c>
      <c r="D17" s="131">
        <v>1681</v>
      </c>
      <c r="E17" s="208">
        <f>SUM(D17)/D11*100</f>
        <v>22.746955345060893</v>
      </c>
      <c r="F17" s="131">
        <v>1682</v>
      </c>
      <c r="G17" s="208">
        <f>SUM(F17)/F11*100</f>
        <v>22.822252374491182</v>
      </c>
    </row>
    <row r="18" spans="2:7" x14ac:dyDescent="0.25">
      <c r="B18" s="210" t="s">
        <v>166</v>
      </c>
      <c r="C18" s="211">
        <v>3</v>
      </c>
      <c r="D18" s="212">
        <f>SUM(D19:D23)</f>
        <v>9348</v>
      </c>
      <c r="E18" s="226">
        <f>SUM(D18)/D60*100</f>
        <v>16.460644479661912</v>
      </c>
      <c r="F18" s="212">
        <f>SUM(F19:F23)</f>
        <v>9273</v>
      </c>
      <c r="G18" s="226">
        <f>SUM(F18)/F60*100</f>
        <v>16.620960369952144</v>
      </c>
    </row>
    <row r="19" spans="2:7" x14ac:dyDescent="0.25">
      <c r="B19" s="190" t="s">
        <v>187</v>
      </c>
      <c r="C19" s="191">
        <v>31</v>
      </c>
      <c r="D19" s="131">
        <v>3896</v>
      </c>
      <c r="E19" s="208">
        <f>SUM(D19)/D18*100</f>
        <v>41.677364142062473</v>
      </c>
      <c r="F19" s="131">
        <v>3884</v>
      </c>
      <c r="G19" s="208">
        <f>SUM(F19)/F18*100</f>
        <v>41.88504259678637</v>
      </c>
    </row>
    <row r="20" spans="2:7" x14ac:dyDescent="0.25">
      <c r="B20" s="190" t="s">
        <v>188</v>
      </c>
      <c r="C20" s="191">
        <v>32</v>
      </c>
      <c r="D20" s="131">
        <v>1500</v>
      </c>
      <c r="E20" s="208">
        <f>SUM(D20)/D18*100</f>
        <v>16.046213093709884</v>
      </c>
      <c r="F20" s="131">
        <v>1458</v>
      </c>
      <c r="G20" s="208">
        <f>SUM(F20)/F18*100</f>
        <v>15.723066968618571</v>
      </c>
    </row>
    <row r="21" spans="2:7" x14ac:dyDescent="0.25">
      <c r="B21" s="190" t="s">
        <v>189</v>
      </c>
      <c r="C21" s="191">
        <v>33</v>
      </c>
      <c r="D21" s="131">
        <v>2333</v>
      </c>
      <c r="E21" s="208">
        <f>SUM(D21)/D18*100</f>
        <v>24.957210098416773</v>
      </c>
      <c r="F21" s="131">
        <v>2236</v>
      </c>
      <c r="G21" s="208">
        <f>SUM(F21)/F18*100</f>
        <v>24.113016283834789</v>
      </c>
    </row>
    <row r="22" spans="2:7" x14ac:dyDescent="0.25">
      <c r="B22" s="190" t="s">
        <v>190</v>
      </c>
      <c r="C22" s="191">
        <v>34</v>
      </c>
      <c r="D22" s="131">
        <v>1092</v>
      </c>
      <c r="E22" s="208">
        <f>SUM(D22)/D18*100</f>
        <v>11.681643132220795</v>
      </c>
      <c r="F22" s="131">
        <v>1119</v>
      </c>
      <c r="G22" s="208">
        <f>SUM(F22)/F18*100</f>
        <v>12.067292138466517</v>
      </c>
    </row>
    <row r="23" spans="2:7" x14ac:dyDescent="0.25">
      <c r="B23" s="190" t="s">
        <v>191</v>
      </c>
      <c r="C23" s="191">
        <v>35</v>
      </c>
      <c r="D23" s="191">
        <v>527</v>
      </c>
      <c r="E23" s="208">
        <f>SUM(D23)/D18*100</f>
        <v>5.6375695335900726</v>
      </c>
      <c r="F23" s="191">
        <v>576</v>
      </c>
      <c r="G23" s="208">
        <f>SUM(F23)/F18*100</f>
        <v>6.2115820122937562</v>
      </c>
    </row>
    <row r="24" spans="2:7" x14ac:dyDescent="0.25">
      <c r="B24" s="210" t="s">
        <v>167</v>
      </c>
      <c r="C24" s="211">
        <v>4</v>
      </c>
      <c r="D24" s="212">
        <f>SUM(D25:D28)</f>
        <v>2867</v>
      </c>
      <c r="E24" s="226">
        <f>SUM(D24)/D60*100</f>
        <v>5.0484240183130833</v>
      </c>
      <c r="F24" s="212">
        <f>SUM(F25:F28)</f>
        <v>2852</v>
      </c>
      <c r="G24" s="226">
        <f>SUM(F24)/F60*100</f>
        <v>5.1119356168557655</v>
      </c>
    </row>
    <row r="25" spans="2:7" x14ac:dyDescent="0.25">
      <c r="B25" s="190" t="s">
        <v>192</v>
      </c>
      <c r="C25" s="191">
        <v>41</v>
      </c>
      <c r="D25" s="131">
        <v>1003</v>
      </c>
      <c r="E25" s="208">
        <f>SUM(D25)/D24*100</f>
        <v>34.984304150680153</v>
      </c>
      <c r="F25" s="131">
        <v>999</v>
      </c>
      <c r="G25" s="208">
        <f>SUM(F25)/F24*100</f>
        <v>35.028050490883587</v>
      </c>
    </row>
    <row r="26" spans="2:7" x14ac:dyDescent="0.25">
      <c r="B26" s="190" t="s">
        <v>193</v>
      </c>
      <c r="C26" s="191">
        <v>42</v>
      </c>
      <c r="D26" s="191">
        <v>646</v>
      </c>
      <c r="E26" s="208">
        <f>SUM(D26)/D24*100</f>
        <v>22.532263690268572</v>
      </c>
      <c r="F26" s="191">
        <v>615</v>
      </c>
      <c r="G26" s="208">
        <f>SUM(F26)/F24*100</f>
        <v>21.563814866760168</v>
      </c>
    </row>
    <row r="27" spans="2:7" x14ac:dyDescent="0.25">
      <c r="B27" s="190" t="s">
        <v>194</v>
      </c>
      <c r="C27" s="191">
        <v>43</v>
      </c>
      <c r="D27" s="131">
        <v>1083</v>
      </c>
      <c r="E27" s="208">
        <f>SUM(D27)/D24*100</f>
        <v>37.774677363097311</v>
      </c>
      <c r="F27" s="131">
        <v>1095</v>
      </c>
      <c r="G27" s="208">
        <f>SUM(F27)/F24*100</f>
        <v>38.394109396914445</v>
      </c>
    </row>
    <row r="28" spans="2:7" x14ac:dyDescent="0.25">
      <c r="B28" s="190" t="s">
        <v>195</v>
      </c>
      <c r="C28" s="191">
        <v>44</v>
      </c>
      <c r="D28" s="191">
        <v>135</v>
      </c>
      <c r="E28" s="208">
        <f>SUM(D28)/D24*100</f>
        <v>4.7087547959539586</v>
      </c>
      <c r="F28" s="191">
        <v>143</v>
      </c>
      <c r="G28" s="208">
        <f>SUM(F28)/F24*100</f>
        <v>5.0140252454417951</v>
      </c>
    </row>
    <row r="29" spans="2:7" x14ac:dyDescent="0.25">
      <c r="B29" s="210" t="s">
        <v>168</v>
      </c>
      <c r="C29" s="211">
        <v>5</v>
      </c>
      <c r="D29" s="212">
        <f>SUM(D30:D33)</f>
        <v>12482</v>
      </c>
      <c r="E29" s="226">
        <f>SUM(D29)/D60*100</f>
        <v>21.979221693960206</v>
      </c>
      <c r="F29" s="212">
        <f>SUM(F30:F33)</f>
        <v>12069</v>
      </c>
      <c r="G29" s="226">
        <f>SUM(F29)/F60*100</f>
        <v>21.63252137441523</v>
      </c>
    </row>
    <row r="30" spans="2:7" x14ac:dyDescent="0.25">
      <c r="B30" s="190" t="s">
        <v>196</v>
      </c>
      <c r="C30" s="191">
        <v>51</v>
      </c>
      <c r="D30" s="131">
        <v>5808</v>
      </c>
      <c r="E30" s="208">
        <f>SUM(D30)/D29*100</f>
        <v>46.531004646691237</v>
      </c>
      <c r="F30" s="131">
        <v>5684</v>
      </c>
      <c r="G30" s="208">
        <f>SUM(F30)/F29*100</f>
        <v>47.095865440384458</v>
      </c>
    </row>
    <row r="31" spans="2:7" x14ac:dyDescent="0.25">
      <c r="B31" s="190" t="s">
        <v>197</v>
      </c>
      <c r="C31" s="191">
        <v>52</v>
      </c>
      <c r="D31" s="131">
        <v>6035</v>
      </c>
      <c r="E31" s="208">
        <f>SUM(D31)/D29*100</f>
        <v>48.349623457779202</v>
      </c>
      <c r="F31" s="131">
        <v>5698</v>
      </c>
      <c r="G31" s="208">
        <f>SUM(F31)/F29*100</f>
        <v>47.211865108956829</v>
      </c>
    </row>
    <row r="32" spans="2:7" x14ac:dyDescent="0.25">
      <c r="B32" s="190" t="s">
        <v>198</v>
      </c>
      <c r="C32" s="191">
        <v>53</v>
      </c>
      <c r="D32" s="191">
        <v>358</v>
      </c>
      <c r="E32" s="208">
        <f>SUM(D32)/D29*100</f>
        <v>2.8681301073545904</v>
      </c>
      <c r="F32" s="191">
        <v>386</v>
      </c>
      <c r="G32" s="208">
        <f>SUM(F32)/F29*100</f>
        <v>3.1982765763526393</v>
      </c>
    </row>
    <row r="33" spans="2:7" x14ac:dyDescent="0.25">
      <c r="B33" s="190" t="s">
        <v>199</v>
      </c>
      <c r="C33" s="191">
        <v>54</v>
      </c>
      <c r="D33" s="191">
        <v>281</v>
      </c>
      <c r="E33" s="208">
        <f>SUM(D33)/D29*100</f>
        <v>2.2512417881749718</v>
      </c>
      <c r="F33" s="191">
        <v>301</v>
      </c>
      <c r="G33" s="208">
        <f>SUM(F33)/F29*100</f>
        <v>2.4939928743060733</v>
      </c>
    </row>
    <row r="34" spans="2:7" x14ac:dyDescent="0.25">
      <c r="B34" s="210" t="s">
        <v>169</v>
      </c>
      <c r="C34" s="211">
        <v>6</v>
      </c>
      <c r="D34" s="212">
        <f>SUM(D35:D37)</f>
        <v>925</v>
      </c>
      <c r="E34" s="226">
        <f>SUM(D34)/D60*100</f>
        <v>1.6288078887128015</v>
      </c>
      <c r="F34" s="212">
        <f>SUM(F35:F37)</f>
        <v>854</v>
      </c>
      <c r="G34" s="226">
        <f>SUM(F34)/F60*100</f>
        <v>1.5307128389883673</v>
      </c>
    </row>
    <row r="35" spans="2:7" x14ac:dyDescent="0.25">
      <c r="B35" s="190" t="s">
        <v>200</v>
      </c>
      <c r="C35" s="191">
        <v>61</v>
      </c>
      <c r="D35" s="131">
        <v>575</v>
      </c>
      <c r="E35" s="208">
        <f>SUM(D35)/D34*100</f>
        <v>62.162162162162161</v>
      </c>
      <c r="F35" s="131">
        <v>530</v>
      </c>
      <c r="G35" s="208">
        <f>SUM(F35)/F34*100</f>
        <v>62.060889929742387</v>
      </c>
    </row>
    <row r="36" spans="2:7" x14ac:dyDescent="0.25">
      <c r="B36" s="190" t="s">
        <v>201</v>
      </c>
      <c r="C36" s="191">
        <v>62</v>
      </c>
      <c r="D36" s="191">
        <v>220</v>
      </c>
      <c r="E36" s="208">
        <f>SUM(D36)/D34*100</f>
        <v>23.783783783783786</v>
      </c>
      <c r="F36" s="191">
        <v>205</v>
      </c>
      <c r="G36" s="208">
        <f>SUM(F36)/F34*100</f>
        <v>24.004683840749415</v>
      </c>
    </row>
    <row r="37" spans="2:7" x14ac:dyDescent="0.25">
      <c r="B37" s="190" t="s">
        <v>202</v>
      </c>
      <c r="C37" s="191">
        <v>63</v>
      </c>
      <c r="D37" s="191">
        <v>130</v>
      </c>
      <c r="E37" s="208">
        <f>SUM(D37)/D34*100</f>
        <v>14.054054054054054</v>
      </c>
      <c r="F37" s="191">
        <v>119</v>
      </c>
      <c r="G37" s="208">
        <f>SUM(F37)/F34*100</f>
        <v>13.934426229508196</v>
      </c>
    </row>
    <row r="38" spans="2:7" x14ac:dyDescent="0.25">
      <c r="B38" s="210" t="s">
        <v>170</v>
      </c>
      <c r="C38" s="211">
        <v>7</v>
      </c>
      <c r="D38" s="212">
        <f>SUM(D39:D43)</f>
        <v>14560</v>
      </c>
      <c r="E38" s="226">
        <f>SUM(D38)/D60*100</f>
        <v>25.638316605036099</v>
      </c>
      <c r="F38" s="212">
        <f>SUM(F39:F43)</f>
        <v>14412</v>
      </c>
      <c r="G38" s="226">
        <f>SUM(F38)/F60*100</f>
        <v>25.832123460773243</v>
      </c>
    </row>
    <row r="39" spans="2:7" x14ac:dyDescent="0.25">
      <c r="B39" s="190" t="s">
        <v>203</v>
      </c>
      <c r="C39" s="191">
        <v>71</v>
      </c>
      <c r="D39" s="131">
        <v>3809</v>
      </c>
      <c r="E39" s="208">
        <f>SUM(D39)/D38*100</f>
        <v>26.160714285714288</v>
      </c>
      <c r="F39" s="131">
        <v>3799</v>
      </c>
      <c r="G39" s="208">
        <f>SUM(F39)/F38*100</f>
        <v>26.359977796280877</v>
      </c>
    </row>
    <row r="40" spans="2:7" x14ac:dyDescent="0.25">
      <c r="B40" s="190" t="s">
        <v>204</v>
      </c>
      <c r="C40" s="191">
        <v>72</v>
      </c>
      <c r="D40" s="131">
        <v>4965</v>
      </c>
      <c r="E40" s="208">
        <f>SUM(D40)/D38*100</f>
        <v>34.10027472527473</v>
      </c>
      <c r="F40" s="131">
        <v>4983</v>
      </c>
      <c r="G40" s="208">
        <f>SUM(F40)/F38*100</f>
        <v>34.575353871773522</v>
      </c>
    </row>
    <row r="41" spans="2:7" x14ac:dyDescent="0.25">
      <c r="B41" s="190" t="s">
        <v>205</v>
      </c>
      <c r="C41" s="191">
        <v>73</v>
      </c>
      <c r="D41" s="131">
        <v>625</v>
      </c>
      <c r="E41" s="208">
        <f>SUM(D41)/D38*100</f>
        <v>4.2925824175824179</v>
      </c>
      <c r="F41" s="131">
        <v>564</v>
      </c>
      <c r="G41" s="208">
        <f>SUM(F41)/F38*100</f>
        <v>3.9134054954204829</v>
      </c>
    </row>
    <row r="42" spans="2:7" x14ac:dyDescent="0.25">
      <c r="B42" s="190" t="s">
        <v>206</v>
      </c>
      <c r="C42" s="191">
        <v>74</v>
      </c>
      <c r="D42" s="131">
        <v>1006</v>
      </c>
      <c r="E42" s="208">
        <f>SUM(D42)/D38*100</f>
        <v>6.9093406593406597</v>
      </c>
      <c r="F42" s="131">
        <v>943</v>
      </c>
      <c r="G42" s="208">
        <f>SUM(F42)/F38*100</f>
        <v>6.54315847904524</v>
      </c>
    </row>
    <row r="43" spans="2:7" ht="30" x14ac:dyDescent="0.25">
      <c r="B43" s="190" t="s">
        <v>207</v>
      </c>
      <c r="C43" s="191">
        <v>75</v>
      </c>
      <c r="D43" s="131">
        <v>4155</v>
      </c>
      <c r="E43" s="208">
        <f>SUM(D43)/D38*100</f>
        <v>28.537087912087912</v>
      </c>
      <c r="F43" s="131">
        <v>4123</v>
      </c>
      <c r="G43" s="208">
        <f>SUM(F43)/F38*100</f>
        <v>28.608104357479881</v>
      </c>
    </row>
    <row r="44" spans="2:7" x14ac:dyDescent="0.25">
      <c r="B44" s="210" t="s">
        <v>171</v>
      </c>
      <c r="C44" s="211">
        <v>8</v>
      </c>
      <c r="D44" s="212">
        <f>SUM(D45:D47)</f>
        <v>3434</v>
      </c>
      <c r="E44" s="226">
        <f>SUM(D44)/D60*100</f>
        <v>6.0468392322592006</v>
      </c>
      <c r="F44" s="212">
        <f>SUM(F45:F47)</f>
        <v>3344</v>
      </c>
      <c r="G44" s="226">
        <f>SUM(F44)/F60*100</f>
        <v>5.9937982828771661</v>
      </c>
    </row>
    <row r="45" spans="2:7" x14ac:dyDescent="0.25">
      <c r="B45" s="190" t="s">
        <v>208</v>
      </c>
      <c r="C45" s="191">
        <v>81</v>
      </c>
      <c r="D45" s="131">
        <v>1732</v>
      </c>
      <c r="E45" s="208">
        <f>SUM(D45)/D44*100</f>
        <v>50.436808386721019</v>
      </c>
      <c r="F45" s="131">
        <v>1706</v>
      </c>
      <c r="G45" s="208">
        <f>SUM(F45)/F44*100</f>
        <v>51.016746411483247</v>
      </c>
    </row>
    <row r="46" spans="2:7" x14ac:dyDescent="0.25">
      <c r="B46" s="190" t="s">
        <v>209</v>
      </c>
      <c r="C46" s="191">
        <v>82</v>
      </c>
      <c r="D46" s="191">
        <v>372</v>
      </c>
      <c r="E46" s="208">
        <f>SUM(D46)/D44*100</f>
        <v>10.832847990681421</v>
      </c>
      <c r="F46" s="191">
        <v>352</v>
      </c>
      <c r="G46" s="208">
        <f>SUM(F46)/F44*100</f>
        <v>10.526315789473683</v>
      </c>
    </row>
    <row r="47" spans="2:7" x14ac:dyDescent="0.25">
      <c r="B47" s="190" t="s">
        <v>210</v>
      </c>
      <c r="C47" s="191">
        <v>83</v>
      </c>
      <c r="D47" s="131">
        <v>1330</v>
      </c>
      <c r="E47" s="208">
        <f>SUM(D47)/D44*100</f>
        <v>38.730343622597552</v>
      </c>
      <c r="F47" s="131">
        <v>1286</v>
      </c>
      <c r="G47" s="208">
        <f>SUM(F47)/F44*100</f>
        <v>38.456937799043061</v>
      </c>
    </row>
    <row r="48" spans="2:7" x14ac:dyDescent="0.25">
      <c r="B48" s="210" t="s">
        <v>172</v>
      </c>
      <c r="C48" s="211">
        <v>9</v>
      </c>
      <c r="D48" s="212">
        <f>SUM(D49:D54)</f>
        <v>5211</v>
      </c>
      <c r="E48" s="226">
        <f>SUM(D48)/D60*100</f>
        <v>9.1759112519809829</v>
      </c>
      <c r="F48" s="212">
        <f>SUM(F49:F54)</f>
        <v>5056</v>
      </c>
      <c r="G48" s="226">
        <f>SUM(F48)/F60*100</f>
        <v>9.0623935760248067</v>
      </c>
    </row>
    <row r="49" spans="2:7" x14ac:dyDescent="0.25">
      <c r="B49" s="190" t="s">
        <v>211</v>
      </c>
      <c r="C49" s="191">
        <v>91</v>
      </c>
      <c r="D49" s="131">
        <v>923</v>
      </c>
      <c r="E49" s="208">
        <f>SUM(D49)/D48*100</f>
        <v>17.712531184033775</v>
      </c>
      <c r="F49" s="131">
        <v>898</v>
      </c>
      <c r="G49" s="208">
        <f>SUM(F49)/F48*100</f>
        <v>17.76107594936709</v>
      </c>
    </row>
    <row r="50" spans="2:7" ht="30" x14ac:dyDescent="0.25">
      <c r="B50" s="190" t="s">
        <v>212</v>
      </c>
      <c r="C50" s="191">
        <v>92</v>
      </c>
      <c r="D50" s="191">
        <v>283</v>
      </c>
      <c r="E50" s="208">
        <f>SUM(D50)/D48*100</f>
        <v>5.4308194204567259</v>
      </c>
      <c r="F50" s="191">
        <v>285</v>
      </c>
      <c r="G50" s="208">
        <f>SUM(F50)/F48*100</f>
        <v>5.6368670886075956</v>
      </c>
    </row>
    <row r="51" spans="2:7" ht="30" x14ac:dyDescent="0.25">
      <c r="B51" s="190" t="s">
        <v>213</v>
      </c>
      <c r="C51" s="191">
        <v>93</v>
      </c>
      <c r="D51" s="131">
        <v>2865</v>
      </c>
      <c r="E51" s="208">
        <f>SUM(D51)/D48*100</f>
        <v>54.979850316637879</v>
      </c>
      <c r="F51" s="131">
        <v>2790</v>
      </c>
      <c r="G51" s="208">
        <f>SUM(F51)/F48*100</f>
        <v>55.181962025316459</v>
      </c>
    </row>
    <row r="52" spans="2:7" ht="30" x14ac:dyDescent="0.25">
      <c r="B52" s="190" t="s">
        <v>214</v>
      </c>
      <c r="C52" s="191">
        <v>94</v>
      </c>
      <c r="D52" s="191">
        <v>400</v>
      </c>
      <c r="E52" s="208">
        <f>SUM(D52)/D48*100</f>
        <v>7.6760698522356545</v>
      </c>
      <c r="F52" s="191">
        <v>396</v>
      </c>
      <c r="G52" s="208">
        <f>SUM(F52)/F48*100</f>
        <v>7.8322784810126587</v>
      </c>
    </row>
    <row r="53" spans="2:7" x14ac:dyDescent="0.25">
      <c r="B53" s="190" t="s">
        <v>215</v>
      </c>
      <c r="C53" s="191">
        <v>95</v>
      </c>
      <c r="D53" s="191">
        <v>8</v>
      </c>
      <c r="E53" s="208">
        <f>SUM(D53)/D48*100</f>
        <v>0.1535213970447131</v>
      </c>
      <c r="F53" s="191">
        <v>9</v>
      </c>
      <c r="G53" s="208">
        <f>SUM(F53)/F48*100</f>
        <v>0.17800632911392406</v>
      </c>
    </row>
    <row r="54" spans="2:7" x14ac:dyDescent="0.25">
      <c r="B54" s="190" t="s">
        <v>216</v>
      </c>
      <c r="C54" s="191">
        <v>96</v>
      </c>
      <c r="D54" s="131">
        <v>732</v>
      </c>
      <c r="E54" s="208">
        <f>SUM(D54)/D48*100</f>
        <v>14.047207829591249</v>
      </c>
      <c r="F54" s="131">
        <v>678</v>
      </c>
      <c r="G54" s="208">
        <f>SUM(F54)/F48*100</f>
        <v>13.409810126582277</v>
      </c>
    </row>
    <row r="55" spans="2:7" x14ac:dyDescent="0.25">
      <c r="B55" s="210" t="s">
        <v>179</v>
      </c>
      <c r="C55" s="211">
        <v>0</v>
      </c>
      <c r="D55" s="211">
        <f>SUM(D56:D58)</f>
        <v>30</v>
      </c>
      <c r="E55" s="315">
        <f>SUM(D55)/D60*100</f>
        <v>5.2826201796090863E-2</v>
      </c>
      <c r="F55" s="211">
        <f>SUM(F56:F58)</f>
        <v>37</v>
      </c>
      <c r="G55" s="315">
        <f>SUM(F55)/F60*100</f>
        <v>6.6318940330877749E-2</v>
      </c>
    </row>
    <row r="56" spans="2:7" x14ac:dyDescent="0.25">
      <c r="B56" s="190" t="s">
        <v>217</v>
      </c>
      <c r="C56" s="191">
        <v>1</v>
      </c>
      <c r="D56" s="191">
        <v>0</v>
      </c>
      <c r="E56" s="208">
        <f>SUM(D56)/D55*100</f>
        <v>0</v>
      </c>
      <c r="F56" s="191">
        <v>0</v>
      </c>
      <c r="G56" s="208">
        <f>SUM(F56)/F55*100</f>
        <v>0</v>
      </c>
    </row>
    <row r="57" spans="2:7" x14ac:dyDescent="0.25">
      <c r="B57" s="190" t="s">
        <v>218</v>
      </c>
      <c r="C57" s="191">
        <v>2</v>
      </c>
      <c r="D57" s="191">
        <v>1</v>
      </c>
      <c r="E57" s="208">
        <f>SUM(D57)/D55*100</f>
        <v>3.3333333333333335</v>
      </c>
      <c r="F57" s="191">
        <v>1</v>
      </c>
      <c r="G57" s="208">
        <f>SUM(F57)/F55*100</f>
        <v>2.7027027027027026</v>
      </c>
    </row>
    <row r="58" spans="2:7" ht="15.75" thickBot="1" x14ac:dyDescent="0.3">
      <c r="B58" s="192" t="s">
        <v>219</v>
      </c>
      <c r="C58" s="187">
        <v>3</v>
      </c>
      <c r="D58" s="187">
        <v>29</v>
      </c>
      <c r="E58" s="227">
        <f>SUM(D58)/D55*100</f>
        <v>96.666666666666671</v>
      </c>
      <c r="F58" s="187">
        <v>36</v>
      </c>
      <c r="G58" s="227">
        <f>SUM(F58)/F55*100</f>
        <v>97.297297297297305</v>
      </c>
    </row>
    <row r="59" spans="2:7" x14ac:dyDescent="0.25">
      <c r="B59" s="213" t="s">
        <v>222</v>
      </c>
      <c r="C59" s="214" t="s">
        <v>158</v>
      </c>
      <c r="D59" s="215">
        <v>8274</v>
      </c>
      <c r="E59" s="225">
        <f>SUM(D59)/D61*100</f>
        <v>12.716709701217264</v>
      </c>
      <c r="F59" s="215">
        <v>8023</v>
      </c>
      <c r="G59" s="225">
        <f>SUM(F59)/F61*100</f>
        <v>12.57247625912809</v>
      </c>
    </row>
    <row r="60" spans="2:7" ht="15.75" thickBot="1" x14ac:dyDescent="0.3">
      <c r="B60" s="216" t="s">
        <v>180</v>
      </c>
      <c r="C60" s="217" t="s">
        <v>159</v>
      </c>
      <c r="D60" s="218">
        <f>SUM(D6,D11,D18,D24,D29,D34,D38,D44,D48,D55)</f>
        <v>56790</v>
      </c>
      <c r="E60" s="228">
        <f>SUM(E6,E11,E18,E24,E29,E34,E38,E44,E48,E55)</f>
        <v>100</v>
      </c>
      <c r="F60" s="218">
        <f>SUM(F6,F11,F18,F24,F29,F34,F38,F44,F48,F55)</f>
        <v>55791</v>
      </c>
      <c r="G60" s="228">
        <f>SUM(G6,G11,G18,G24,G29,G34,G38,G44,G48,G55)</f>
        <v>100</v>
      </c>
    </row>
    <row r="61" spans="2:7" ht="19.5" thickBot="1" x14ac:dyDescent="0.3">
      <c r="B61" s="219" t="s">
        <v>50</v>
      </c>
      <c r="C61" s="220" t="s">
        <v>160</v>
      </c>
      <c r="D61" s="221">
        <f>SUM(D59:D60)</f>
        <v>65064</v>
      </c>
      <c r="E61" s="222" t="s">
        <v>93</v>
      </c>
      <c r="F61" s="221">
        <f>SUM(F59:F60)</f>
        <v>63814</v>
      </c>
      <c r="G61" s="222" t="s">
        <v>93</v>
      </c>
    </row>
    <row r="62" spans="2:7" x14ac:dyDescent="0.25">
      <c r="B62" s="195" t="s">
        <v>377</v>
      </c>
      <c r="C62" s="195"/>
      <c r="D62" s="195"/>
      <c r="E62" s="195"/>
    </row>
    <row r="63" spans="2:7" ht="14.25" customHeight="1" x14ac:dyDescent="0.25">
      <c r="B63" s="11" t="s">
        <v>378</v>
      </c>
    </row>
    <row r="64" spans="2:7" ht="13.5" customHeight="1" x14ac:dyDescent="0.25">
      <c r="B64" s="11" t="s">
        <v>379</v>
      </c>
    </row>
    <row r="65" spans="4:7" x14ac:dyDescent="0.25">
      <c r="D65" s="361">
        <f>SUM(D6,D11,D18,D24,D29,D34,D38,D44,D48,D55,D59)</f>
        <v>65064</v>
      </c>
      <c r="F65" s="361">
        <f>SUM(F6,F11,F18,F24,F29,F34,F38,F44,F48,F55,F59)</f>
        <v>63814</v>
      </c>
    </row>
    <row r="66" spans="4:7" x14ac:dyDescent="0.25">
      <c r="E66" s="361"/>
      <c r="G66" s="361"/>
    </row>
  </sheetData>
  <printOptions horizontalCentered="1" verticalCentered="1"/>
  <pageMargins left="1.0236220472440944" right="0.31496062992125984" top="0.31496062992125984" bottom="0" header="0" footer="0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</sheetPr>
  <dimension ref="B2:AA46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85546875" style="11" customWidth="1"/>
    <col min="2" max="2" width="26" style="11" customWidth="1"/>
    <col min="3" max="3" width="16.140625" style="11" customWidth="1"/>
    <col min="4" max="4" width="16" style="11" customWidth="1"/>
    <col min="5" max="5" width="16.28515625" style="11" customWidth="1"/>
    <col min="6" max="6" width="3.85546875" style="11" customWidth="1"/>
    <col min="7" max="7" width="11.42578125" style="11" bestFit="1" customWidth="1"/>
    <col min="8" max="8" width="9.5703125" style="11" customWidth="1"/>
    <col min="9" max="9" width="11.140625" style="11" customWidth="1"/>
    <col min="10" max="10" width="4.42578125" style="11" customWidth="1"/>
    <col min="11" max="11" width="9.85546875" style="11" customWidth="1"/>
    <col min="12" max="12" width="9.140625" style="11"/>
    <col min="13" max="13" width="10.5703125" style="11" customWidth="1"/>
    <col min="14" max="14" width="11.28515625" style="11" customWidth="1"/>
    <col min="15" max="15" width="11.85546875" style="11" customWidth="1"/>
    <col min="16" max="16" width="7.7109375" style="420" customWidth="1"/>
    <col min="17" max="26" width="9.140625" style="11"/>
    <col min="27" max="27" width="12" style="11" customWidth="1"/>
    <col min="28" max="16384" width="9.140625" style="11"/>
  </cols>
  <sheetData>
    <row r="2" spans="2:16" x14ac:dyDescent="0.25">
      <c r="B2" s="11" t="s">
        <v>577</v>
      </c>
    </row>
    <row r="3" spans="2:16" x14ac:dyDescent="0.25">
      <c r="B3" s="11" t="s">
        <v>578</v>
      </c>
    </row>
    <row r="4" spans="2:16" x14ac:dyDescent="0.25">
      <c r="B4" s="11" t="s">
        <v>312</v>
      </c>
    </row>
    <row r="5" spans="2:16" ht="11.25" customHeight="1" thickBot="1" x14ac:dyDescent="0.3"/>
    <row r="6" spans="2:16" ht="22.5" customHeight="1" thickBot="1" x14ac:dyDescent="0.3">
      <c r="B6" s="828"/>
      <c r="C6" s="940"/>
      <c r="D6" s="826" t="s">
        <v>515</v>
      </c>
      <c r="E6" s="941"/>
    </row>
    <row r="7" spans="2:16" ht="21.75" customHeight="1" thickBot="1" x14ac:dyDescent="0.3">
      <c r="B7" s="833" t="s">
        <v>13</v>
      </c>
      <c r="C7" s="939"/>
      <c r="D7" s="988" t="s">
        <v>49</v>
      </c>
      <c r="E7" s="990"/>
    </row>
    <row r="8" spans="2:16" ht="34.5" customHeight="1" thickBot="1" x14ac:dyDescent="0.3">
      <c r="B8" s="843"/>
      <c r="C8" s="832" t="s">
        <v>46</v>
      </c>
      <c r="D8" s="648" t="s">
        <v>47</v>
      </c>
      <c r="E8" s="620" t="s">
        <v>48</v>
      </c>
    </row>
    <row r="9" spans="2:16" ht="23.25" customHeight="1" thickBot="1" x14ac:dyDescent="0.3">
      <c r="B9" s="119" t="s">
        <v>14</v>
      </c>
      <c r="C9" s="138">
        <f>SUM(C10:C34)</f>
        <v>21158</v>
      </c>
      <c r="D9" s="120">
        <f>SUM(D10:D34)</f>
        <v>9030</v>
      </c>
      <c r="E9" s="139">
        <f>SUM(E10:E34)</f>
        <v>3588</v>
      </c>
      <c r="F9" s="296"/>
    </row>
    <row r="10" spans="2:16" ht="14.25" customHeight="1" x14ac:dyDescent="0.25">
      <c r="B10" s="53" t="s">
        <v>15</v>
      </c>
      <c r="C10" s="34">
        <v>330</v>
      </c>
      <c r="D10" s="30">
        <v>206</v>
      </c>
      <c r="E10" s="140">
        <v>82</v>
      </c>
      <c r="G10" s="765" t="s">
        <v>253</v>
      </c>
      <c r="H10" s="760" t="s">
        <v>305</v>
      </c>
      <c r="I10" s="749" t="s">
        <v>306</v>
      </c>
      <c r="J10" s="357"/>
      <c r="K10" s="765" t="s">
        <v>304</v>
      </c>
      <c r="L10" s="760" t="s">
        <v>330</v>
      </c>
      <c r="M10" s="749" t="s">
        <v>284</v>
      </c>
      <c r="N10" s="942" t="s">
        <v>329</v>
      </c>
      <c r="O10" s="943" t="s">
        <v>285</v>
      </c>
    </row>
    <row r="11" spans="2:16" x14ac:dyDescent="0.25">
      <c r="B11" s="12" t="s">
        <v>16</v>
      </c>
      <c r="C11" s="32">
        <v>483</v>
      </c>
      <c r="D11" s="13">
        <v>433</v>
      </c>
      <c r="E11" s="15">
        <v>125</v>
      </c>
      <c r="G11" s="766">
        <v>1998</v>
      </c>
      <c r="H11" s="761" t="s">
        <v>93</v>
      </c>
      <c r="I11" s="744" t="s">
        <v>93</v>
      </c>
      <c r="J11" s="358"/>
      <c r="K11" s="32" t="s">
        <v>450</v>
      </c>
      <c r="L11" s="761" t="s">
        <v>93</v>
      </c>
      <c r="M11" s="744" t="s">
        <v>93</v>
      </c>
      <c r="N11" s="62" t="s">
        <v>93</v>
      </c>
      <c r="O11" s="744" t="s">
        <v>93</v>
      </c>
      <c r="P11" s="741" t="s">
        <v>93</v>
      </c>
    </row>
    <row r="12" spans="2:16" ht="14.25" customHeight="1" x14ac:dyDescent="0.25">
      <c r="B12" s="12" t="s">
        <v>17</v>
      </c>
      <c r="C12" s="32">
        <v>1519</v>
      </c>
      <c r="D12" s="13">
        <v>305</v>
      </c>
      <c r="E12" s="15">
        <v>114</v>
      </c>
      <c r="G12" s="771">
        <v>1999</v>
      </c>
      <c r="H12" s="763">
        <v>38322</v>
      </c>
      <c r="I12" s="755">
        <v>14842</v>
      </c>
      <c r="J12" s="358"/>
      <c r="K12" s="32" t="s">
        <v>451</v>
      </c>
      <c r="L12" s="762">
        <v>19411</v>
      </c>
      <c r="M12" s="744" t="s">
        <v>325</v>
      </c>
      <c r="N12" s="745"/>
      <c r="O12" s="15">
        <f t="shared" ref="O12:O31" si="0">SUM(I12-N12)</f>
        <v>14842</v>
      </c>
      <c r="P12" s="742">
        <f>SUM(N12/L12*100)</f>
        <v>0</v>
      </c>
    </row>
    <row r="13" spans="2:16" ht="18" customHeight="1" x14ac:dyDescent="0.25">
      <c r="B13" s="12" t="s">
        <v>18</v>
      </c>
      <c r="C13" s="32">
        <v>1123</v>
      </c>
      <c r="D13" s="13">
        <v>566</v>
      </c>
      <c r="E13" s="15">
        <v>212</v>
      </c>
      <c r="G13" s="766">
        <v>2000</v>
      </c>
      <c r="H13" s="762">
        <v>31625</v>
      </c>
      <c r="I13" s="756">
        <v>14996</v>
      </c>
      <c r="J13" s="358"/>
      <c r="K13" s="32" t="s">
        <v>452</v>
      </c>
      <c r="L13" s="762">
        <v>16479</v>
      </c>
      <c r="M13" s="750">
        <f>SUM(L13-L12)/L12*100</f>
        <v>-15.104837463294007</v>
      </c>
      <c r="N13" s="745"/>
      <c r="O13" s="15">
        <f t="shared" si="0"/>
        <v>14996</v>
      </c>
      <c r="P13" s="742">
        <f t="shared" ref="P13:P29" si="1">SUM(N13/L13*100)</f>
        <v>0</v>
      </c>
    </row>
    <row r="14" spans="2:16" x14ac:dyDescent="0.25">
      <c r="B14" s="12" t="s">
        <v>19</v>
      </c>
      <c r="C14" s="32">
        <v>1334</v>
      </c>
      <c r="D14" s="13">
        <v>609</v>
      </c>
      <c r="E14" s="15">
        <v>206</v>
      </c>
      <c r="G14" s="766">
        <v>2001</v>
      </c>
      <c r="H14" s="762">
        <v>25129</v>
      </c>
      <c r="I14" s="756">
        <v>8521</v>
      </c>
      <c r="J14" s="753" t="s">
        <v>324</v>
      </c>
      <c r="K14" s="32" t="s">
        <v>453</v>
      </c>
      <c r="L14" s="763">
        <v>12461</v>
      </c>
      <c r="M14" s="750">
        <f>SUM(L14-L12)/L12*100</f>
        <v>-35.804440781000466</v>
      </c>
      <c r="N14" s="746">
        <v>4362</v>
      </c>
      <c r="O14" s="15">
        <f t="shared" si="0"/>
        <v>4159</v>
      </c>
      <c r="P14" s="742">
        <f t="shared" si="1"/>
        <v>35.005216274777304</v>
      </c>
    </row>
    <row r="15" spans="2:16" x14ac:dyDescent="0.25">
      <c r="B15" s="12" t="s">
        <v>20</v>
      </c>
      <c r="C15" s="32">
        <v>527</v>
      </c>
      <c r="D15" s="13">
        <v>236</v>
      </c>
      <c r="E15" s="15">
        <v>75</v>
      </c>
      <c r="G15" s="766">
        <v>2002</v>
      </c>
      <c r="H15" s="762">
        <v>28470</v>
      </c>
      <c r="I15" s="756">
        <v>12944</v>
      </c>
      <c r="J15" s="358"/>
      <c r="K15" s="32" t="s">
        <v>454</v>
      </c>
      <c r="L15" s="762">
        <v>12658</v>
      </c>
      <c r="M15" s="750">
        <f>SUM(L15-L12)/L12*100</f>
        <v>-34.789552315697286</v>
      </c>
      <c r="N15" s="746">
        <v>4639</v>
      </c>
      <c r="O15" s="15">
        <f t="shared" si="0"/>
        <v>8305</v>
      </c>
      <c r="P15" s="742">
        <f t="shared" si="1"/>
        <v>36.6487596776742</v>
      </c>
    </row>
    <row r="16" spans="2:16" ht="15.75" customHeight="1" x14ac:dyDescent="0.25">
      <c r="B16" s="12" t="s">
        <v>21</v>
      </c>
      <c r="C16" s="32">
        <v>517</v>
      </c>
      <c r="D16" s="13">
        <v>197</v>
      </c>
      <c r="E16" s="15">
        <v>57</v>
      </c>
      <c r="G16" s="766">
        <v>2003</v>
      </c>
      <c r="H16" s="762">
        <v>39334</v>
      </c>
      <c r="I16" s="756">
        <v>22556</v>
      </c>
      <c r="J16" s="358"/>
      <c r="K16" s="32" t="s">
        <v>455</v>
      </c>
      <c r="L16" s="762">
        <v>19490</v>
      </c>
      <c r="M16" s="750">
        <f>SUM(L16-L12)/L12*100</f>
        <v>0.40698572974086861</v>
      </c>
      <c r="N16" s="746">
        <v>11201</v>
      </c>
      <c r="O16" s="15">
        <f t="shared" si="0"/>
        <v>11355</v>
      </c>
      <c r="P16" s="742">
        <f t="shared" si="1"/>
        <v>57.470497691123654</v>
      </c>
    </row>
    <row r="17" spans="2:16" x14ac:dyDescent="0.25">
      <c r="B17" s="12" t="s">
        <v>22</v>
      </c>
      <c r="C17" s="32">
        <v>276</v>
      </c>
      <c r="D17" s="13">
        <v>150</v>
      </c>
      <c r="E17" s="15">
        <v>38</v>
      </c>
      <c r="G17" s="766">
        <v>2004</v>
      </c>
      <c r="H17" s="762">
        <v>40346</v>
      </c>
      <c r="I17" s="756">
        <v>20038</v>
      </c>
      <c r="J17" s="358"/>
      <c r="K17" s="32" t="s">
        <v>456</v>
      </c>
      <c r="L17" s="762">
        <v>21329</v>
      </c>
      <c r="M17" s="750">
        <f>SUM(L17-L12)/L12*100</f>
        <v>9.8809953119365321</v>
      </c>
      <c r="N17" s="745"/>
      <c r="O17" s="15">
        <f t="shared" si="0"/>
        <v>20038</v>
      </c>
      <c r="P17" s="742">
        <f t="shared" si="1"/>
        <v>0</v>
      </c>
    </row>
    <row r="18" spans="2:16" x14ac:dyDescent="0.25">
      <c r="B18" s="12" t="s">
        <v>23</v>
      </c>
      <c r="C18" s="32">
        <v>735</v>
      </c>
      <c r="D18" s="13">
        <v>475</v>
      </c>
      <c r="E18" s="15">
        <v>148</v>
      </c>
      <c r="G18" s="766">
        <v>2005</v>
      </c>
      <c r="H18" s="762">
        <v>41016</v>
      </c>
      <c r="I18" s="756">
        <v>18757</v>
      </c>
      <c r="J18" s="358"/>
      <c r="K18" s="32" t="s">
        <v>457</v>
      </c>
      <c r="L18" s="762">
        <v>21427</v>
      </c>
      <c r="M18" s="750">
        <f>SUM(L18-L12)/L12*100</f>
        <v>10.385863685539128</v>
      </c>
      <c r="N18" s="746">
        <v>10813</v>
      </c>
      <c r="O18" s="15">
        <f>SUM(I18-N18)</f>
        <v>7944</v>
      </c>
      <c r="P18" s="742">
        <f t="shared" si="1"/>
        <v>50.46436738694171</v>
      </c>
    </row>
    <row r="19" spans="2:16" x14ac:dyDescent="0.25">
      <c r="B19" s="12" t="s">
        <v>24</v>
      </c>
      <c r="C19" s="32">
        <v>531</v>
      </c>
      <c r="D19" s="13">
        <v>352</v>
      </c>
      <c r="E19" s="15">
        <v>142</v>
      </c>
      <c r="G19" s="766">
        <v>2006</v>
      </c>
      <c r="H19" s="762">
        <v>48932</v>
      </c>
      <c r="I19" s="756">
        <v>20054</v>
      </c>
      <c r="J19" s="358"/>
      <c r="K19" s="32" t="s">
        <v>458</v>
      </c>
      <c r="L19" s="762">
        <v>25517</v>
      </c>
      <c r="M19" s="750">
        <f>SUM(L19-L12)/L12*100</f>
        <v>31.456390706300553</v>
      </c>
      <c r="N19" s="746">
        <v>9779</v>
      </c>
      <c r="O19" s="15">
        <f t="shared" si="0"/>
        <v>10275</v>
      </c>
      <c r="P19" s="742">
        <f t="shared" si="1"/>
        <v>38.323470627424854</v>
      </c>
    </row>
    <row r="20" spans="2:16" x14ac:dyDescent="0.25">
      <c r="B20" s="12" t="s">
        <v>25</v>
      </c>
      <c r="C20" s="32">
        <v>634</v>
      </c>
      <c r="D20" s="13">
        <v>433</v>
      </c>
      <c r="E20" s="15">
        <v>201</v>
      </c>
      <c r="G20" s="766">
        <v>2007</v>
      </c>
      <c r="H20" s="762">
        <v>49327</v>
      </c>
      <c r="I20" s="756">
        <v>24494</v>
      </c>
      <c r="J20" s="358"/>
      <c r="K20" s="32" t="s">
        <v>459</v>
      </c>
      <c r="L20" s="762">
        <v>27392</v>
      </c>
      <c r="M20" s="750">
        <f>SUM(L20-L12)/L12*100</f>
        <v>41.115862140023694</v>
      </c>
      <c r="N20" s="746">
        <v>14414</v>
      </c>
      <c r="O20" s="15">
        <f t="shared" si="0"/>
        <v>10080</v>
      </c>
      <c r="P20" s="742">
        <f t="shared" si="1"/>
        <v>52.621203271028037</v>
      </c>
    </row>
    <row r="21" spans="2:16" x14ac:dyDescent="0.25">
      <c r="B21" s="12" t="s">
        <v>26</v>
      </c>
      <c r="C21" s="32">
        <v>1816</v>
      </c>
      <c r="D21" s="13">
        <v>478</v>
      </c>
      <c r="E21" s="15">
        <v>145</v>
      </c>
      <c r="G21" s="766">
        <v>2008</v>
      </c>
      <c r="H21" s="762">
        <v>51046</v>
      </c>
      <c r="I21" s="756">
        <v>28458</v>
      </c>
      <c r="J21" s="358"/>
      <c r="K21" s="32" t="s">
        <v>460</v>
      </c>
      <c r="L21" s="762">
        <v>28169</v>
      </c>
      <c r="M21" s="750">
        <f>SUM(L21-L12)/L12*100</f>
        <v>45.118747102158565</v>
      </c>
      <c r="N21" s="746">
        <v>15639</v>
      </c>
      <c r="O21" s="15">
        <f t="shared" si="0"/>
        <v>12819</v>
      </c>
      <c r="P21" s="742">
        <f t="shared" si="1"/>
        <v>55.518477759238884</v>
      </c>
    </row>
    <row r="22" spans="2:16" x14ac:dyDescent="0.25">
      <c r="B22" s="12" t="s">
        <v>27</v>
      </c>
      <c r="C22" s="32">
        <v>544</v>
      </c>
      <c r="D22" s="13">
        <v>403</v>
      </c>
      <c r="E22" s="15">
        <v>158</v>
      </c>
      <c r="G22" s="766">
        <v>2009</v>
      </c>
      <c r="H22" s="762">
        <v>47263</v>
      </c>
      <c r="I22" s="756">
        <v>28957</v>
      </c>
      <c r="J22" s="358"/>
      <c r="K22" s="32" t="s">
        <v>461</v>
      </c>
      <c r="L22" s="763">
        <v>25139</v>
      </c>
      <c r="M22" s="750">
        <f>SUM(L22-L12)/L12*100</f>
        <v>29.509041265261963</v>
      </c>
      <c r="N22" s="746">
        <v>16435</v>
      </c>
      <c r="O22" s="15">
        <f t="shared" si="0"/>
        <v>12522</v>
      </c>
      <c r="P22" s="742">
        <f t="shared" si="1"/>
        <v>65.376506623175146</v>
      </c>
    </row>
    <row r="23" spans="2:16" x14ac:dyDescent="0.25">
      <c r="B23" s="16" t="s">
        <v>28</v>
      </c>
      <c r="C23" s="206">
        <v>325</v>
      </c>
      <c r="D23" s="106">
        <v>249</v>
      </c>
      <c r="E23" s="15">
        <v>146</v>
      </c>
      <c r="G23" s="766">
        <v>2010</v>
      </c>
      <c r="H23" s="762">
        <v>57481</v>
      </c>
      <c r="I23" s="756">
        <v>35663</v>
      </c>
      <c r="J23" s="358"/>
      <c r="K23" s="32" t="s">
        <v>462</v>
      </c>
      <c r="L23" s="762">
        <v>30966</v>
      </c>
      <c r="M23" s="750">
        <f>SUM(L23-L12)/L12*100</f>
        <v>59.528102622224509</v>
      </c>
      <c r="N23" s="746">
        <v>21368</v>
      </c>
      <c r="O23" s="15">
        <f t="shared" si="0"/>
        <v>14295</v>
      </c>
      <c r="P23" s="742">
        <f t="shared" si="1"/>
        <v>69.004714848543571</v>
      </c>
    </row>
    <row r="24" spans="2:16" x14ac:dyDescent="0.25">
      <c r="B24" s="16" t="s">
        <v>29</v>
      </c>
      <c r="C24" s="206">
        <v>1401</v>
      </c>
      <c r="D24" s="106">
        <v>622</v>
      </c>
      <c r="E24" s="15">
        <v>304</v>
      </c>
      <c r="G24" s="766">
        <v>2011</v>
      </c>
      <c r="H24" s="762">
        <v>42554</v>
      </c>
      <c r="I24" s="756">
        <v>16768</v>
      </c>
      <c r="J24" s="358"/>
      <c r="K24" s="32" t="s">
        <v>463</v>
      </c>
      <c r="L24" s="763">
        <v>24104</v>
      </c>
      <c r="M24" s="750">
        <f>SUM(L24-L12)/L12*100</f>
        <v>24.177013033846791</v>
      </c>
      <c r="N24" s="746">
        <v>10464</v>
      </c>
      <c r="O24" s="15">
        <f t="shared" si="0"/>
        <v>6304</v>
      </c>
      <c r="P24" s="742">
        <f t="shared" si="1"/>
        <v>43.411881845336872</v>
      </c>
    </row>
    <row r="25" spans="2:16" x14ac:dyDescent="0.25">
      <c r="B25" s="16" t="s">
        <v>30</v>
      </c>
      <c r="C25" s="206">
        <v>607</v>
      </c>
      <c r="D25" s="106">
        <v>371</v>
      </c>
      <c r="E25" s="15">
        <v>147</v>
      </c>
      <c r="G25" s="766">
        <v>2012</v>
      </c>
      <c r="H25" s="762">
        <v>48689</v>
      </c>
      <c r="I25" s="756">
        <v>25146</v>
      </c>
      <c r="J25" s="358"/>
      <c r="K25" s="32" t="s">
        <v>464</v>
      </c>
      <c r="L25" s="762">
        <v>24066</v>
      </c>
      <c r="M25" s="750">
        <f>SUM(L25-L12)/L12*100</f>
        <v>23.981247746123334</v>
      </c>
      <c r="N25" s="746">
        <v>12684</v>
      </c>
      <c r="O25" s="15">
        <f t="shared" si="0"/>
        <v>12462</v>
      </c>
      <c r="P25" s="742">
        <f t="shared" si="1"/>
        <v>52.705061082024429</v>
      </c>
    </row>
    <row r="26" spans="2:16" x14ac:dyDescent="0.25">
      <c r="B26" s="16" t="s">
        <v>31</v>
      </c>
      <c r="C26" s="206">
        <v>981</v>
      </c>
      <c r="D26" s="106">
        <v>321</v>
      </c>
      <c r="E26" s="15">
        <v>102</v>
      </c>
      <c r="G26" s="766">
        <v>2013</v>
      </c>
      <c r="H26" s="762">
        <v>54304</v>
      </c>
      <c r="I26" s="756">
        <v>26050</v>
      </c>
      <c r="J26" s="358"/>
      <c r="K26" s="32" t="s">
        <v>465</v>
      </c>
      <c r="L26" s="762">
        <v>31113</v>
      </c>
      <c r="M26" s="25">
        <f>SUM(L26-L12)/L12*100</f>
        <v>60.285405182628402</v>
      </c>
      <c r="N26" s="746">
        <v>17521</v>
      </c>
      <c r="O26" s="15">
        <f t="shared" si="0"/>
        <v>8529</v>
      </c>
      <c r="P26" s="742">
        <f t="shared" si="1"/>
        <v>56.314080930800628</v>
      </c>
    </row>
    <row r="27" spans="2:16" x14ac:dyDescent="0.25">
      <c r="B27" s="16" t="s">
        <v>32</v>
      </c>
      <c r="C27" s="206">
        <v>476</v>
      </c>
      <c r="D27" s="106">
        <v>228</v>
      </c>
      <c r="E27" s="15">
        <v>61</v>
      </c>
      <c r="G27" s="766">
        <v>2014</v>
      </c>
      <c r="H27" s="762">
        <v>60555</v>
      </c>
      <c r="I27" s="756">
        <v>27292</v>
      </c>
      <c r="J27" s="358"/>
      <c r="K27" s="32" t="s">
        <v>466</v>
      </c>
      <c r="L27" s="762">
        <v>31924</v>
      </c>
      <c r="M27" s="25">
        <f>SUM(L27-L12)/L12*100</f>
        <v>64.46344856009479</v>
      </c>
      <c r="N27" s="746">
        <v>16121</v>
      </c>
      <c r="O27" s="15">
        <f t="shared" si="0"/>
        <v>11171</v>
      </c>
      <c r="P27" s="742">
        <f t="shared" si="1"/>
        <v>50.498057887482773</v>
      </c>
    </row>
    <row r="28" spans="2:16" x14ac:dyDescent="0.25">
      <c r="B28" s="16" t="s">
        <v>33</v>
      </c>
      <c r="C28" s="206">
        <v>729</v>
      </c>
      <c r="D28" s="106">
        <v>354</v>
      </c>
      <c r="E28" s="15">
        <v>138</v>
      </c>
      <c r="G28" s="766">
        <v>2015</v>
      </c>
      <c r="H28" s="762">
        <v>61276</v>
      </c>
      <c r="I28" s="756">
        <v>28848</v>
      </c>
      <c r="J28" s="358"/>
      <c r="K28" s="32" t="s">
        <v>467</v>
      </c>
      <c r="L28" s="762">
        <v>33364</v>
      </c>
      <c r="M28" s="25">
        <f>SUM(L28-L12)/L12*100</f>
        <v>71.881922621194178</v>
      </c>
      <c r="N28" s="746">
        <v>16952</v>
      </c>
      <c r="O28" s="15">
        <f t="shared" si="0"/>
        <v>11896</v>
      </c>
      <c r="P28" s="742">
        <f t="shared" si="1"/>
        <v>50.809255484953844</v>
      </c>
    </row>
    <row r="29" spans="2:16" x14ac:dyDescent="0.25">
      <c r="B29" s="16" t="s">
        <v>34</v>
      </c>
      <c r="C29" s="206">
        <v>690</v>
      </c>
      <c r="D29" s="106">
        <v>423</v>
      </c>
      <c r="E29" s="15">
        <v>190</v>
      </c>
      <c r="G29" s="766">
        <v>2016</v>
      </c>
      <c r="H29" s="762">
        <v>72410</v>
      </c>
      <c r="I29" s="755">
        <v>31407</v>
      </c>
      <c r="J29" s="358"/>
      <c r="K29" s="32" t="s">
        <v>468</v>
      </c>
      <c r="L29" s="762">
        <v>38617</v>
      </c>
      <c r="M29" s="25">
        <f>SUM(L29-L12)/L12*100</f>
        <v>98.943897789912938</v>
      </c>
      <c r="N29" s="746">
        <v>19558</v>
      </c>
      <c r="O29" s="15">
        <f t="shared" si="0"/>
        <v>11849</v>
      </c>
      <c r="P29" s="742">
        <f t="shared" si="1"/>
        <v>50.646088510241604</v>
      </c>
    </row>
    <row r="30" spans="2:16" x14ac:dyDescent="0.25">
      <c r="B30" s="16" t="s">
        <v>35</v>
      </c>
      <c r="C30" s="206">
        <v>506</v>
      </c>
      <c r="D30" s="106">
        <v>223</v>
      </c>
      <c r="E30" s="15">
        <v>131</v>
      </c>
      <c r="G30" s="766">
        <v>2017</v>
      </c>
      <c r="H30" s="763">
        <v>75836</v>
      </c>
      <c r="I30" s="756">
        <v>30828</v>
      </c>
      <c r="J30" s="358"/>
      <c r="K30" s="32" t="s">
        <v>469</v>
      </c>
      <c r="L30" s="763">
        <v>41480</v>
      </c>
      <c r="M30" s="25">
        <f>SUM(L30-L12)/L12*100</f>
        <v>113.69326670444593</v>
      </c>
      <c r="N30" s="746">
        <v>17945</v>
      </c>
      <c r="O30" s="15">
        <f t="shared" si="0"/>
        <v>12883</v>
      </c>
      <c r="P30" s="742">
        <f t="shared" ref="P30:P34" si="2">SUM(N30/L30*100)</f>
        <v>43.261812921890069</v>
      </c>
    </row>
    <row r="31" spans="2:16" x14ac:dyDescent="0.25">
      <c r="B31" s="16" t="s">
        <v>36</v>
      </c>
      <c r="C31" s="206">
        <v>651</v>
      </c>
      <c r="D31" s="106">
        <v>208</v>
      </c>
      <c r="E31" s="15">
        <v>74</v>
      </c>
      <c r="G31" s="766">
        <v>2018</v>
      </c>
      <c r="H31" s="762">
        <v>61438</v>
      </c>
      <c r="I31" s="756">
        <v>20784</v>
      </c>
      <c r="J31" s="358"/>
      <c r="K31" s="32" t="s">
        <v>470</v>
      </c>
      <c r="L31" s="762">
        <v>34404</v>
      </c>
      <c r="M31" s="25">
        <f>SUM(L31-L12)/L12*100</f>
        <v>77.239709443099272</v>
      </c>
      <c r="N31" s="746">
        <v>12024</v>
      </c>
      <c r="O31" s="15">
        <f t="shared" si="0"/>
        <v>8760</v>
      </c>
      <c r="P31" s="742">
        <f t="shared" si="2"/>
        <v>34.949424485524936</v>
      </c>
    </row>
    <row r="32" spans="2:16" x14ac:dyDescent="0.25">
      <c r="B32" s="16" t="s">
        <v>37</v>
      </c>
      <c r="C32" s="206">
        <v>501</v>
      </c>
      <c r="D32" s="106">
        <v>345</v>
      </c>
      <c r="E32" s="15">
        <v>188</v>
      </c>
      <c r="G32" s="766">
        <v>2019</v>
      </c>
      <c r="H32" s="768">
        <v>53791</v>
      </c>
      <c r="I32" s="757">
        <v>20491</v>
      </c>
      <c r="J32" s="754"/>
      <c r="K32" s="32" t="s">
        <v>471</v>
      </c>
      <c r="L32" s="762">
        <v>31188</v>
      </c>
      <c r="M32" s="25">
        <f>SUM(L32-L12)/L12*100</f>
        <v>60.671784039977325</v>
      </c>
      <c r="N32" s="746">
        <v>12447</v>
      </c>
      <c r="O32" s="15">
        <f>SUM(I32-N32)</f>
        <v>8044</v>
      </c>
      <c r="P32" s="742">
        <f t="shared" si="2"/>
        <v>39.909580607926124</v>
      </c>
    </row>
    <row r="33" spans="2:27" x14ac:dyDescent="0.25">
      <c r="B33" s="16" t="s">
        <v>38</v>
      </c>
      <c r="C33" s="206">
        <v>3509</v>
      </c>
      <c r="D33" s="106">
        <v>626</v>
      </c>
      <c r="E33" s="15">
        <v>331</v>
      </c>
      <c r="G33" s="766">
        <v>2020</v>
      </c>
      <c r="H33" s="762">
        <v>37090</v>
      </c>
      <c r="I33" s="756">
        <v>14301</v>
      </c>
      <c r="K33" s="766" t="s">
        <v>472</v>
      </c>
      <c r="L33" s="763">
        <v>15976</v>
      </c>
      <c r="M33" s="25">
        <f>SUM(L33-L12)/L12*100</f>
        <v>-17.696151666580807</v>
      </c>
      <c r="N33" s="746">
        <v>6536</v>
      </c>
      <c r="O33" s="15">
        <f>SUM(I33-N33)</f>
        <v>7765</v>
      </c>
      <c r="P33" s="742">
        <f t="shared" si="2"/>
        <v>40.911367050575862</v>
      </c>
    </row>
    <row r="34" spans="2:27" ht="15.75" thickBot="1" x14ac:dyDescent="0.3">
      <c r="B34" s="17" t="s">
        <v>39</v>
      </c>
      <c r="C34" s="207">
        <v>413</v>
      </c>
      <c r="D34" s="108">
        <v>217</v>
      </c>
      <c r="E34" s="20">
        <v>73</v>
      </c>
      <c r="G34" s="766">
        <v>2021</v>
      </c>
      <c r="H34" s="762">
        <v>50760</v>
      </c>
      <c r="I34" s="756">
        <v>17820</v>
      </c>
      <c r="K34" s="766" t="s">
        <v>473</v>
      </c>
      <c r="L34" s="762">
        <v>24927</v>
      </c>
      <c r="M34" s="25">
        <f>SUM(L34-L12)/L12*100</f>
        <v>28.416877028489001</v>
      </c>
      <c r="N34" s="746">
        <v>9903</v>
      </c>
      <c r="O34" s="15">
        <f>SUM(I34-N34)</f>
        <v>7917</v>
      </c>
      <c r="P34" s="742">
        <f t="shared" si="2"/>
        <v>39.728005776868457</v>
      </c>
    </row>
    <row r="35" spans="2:27" x14ac:dyDescent="0.25">
      <c r="C35" s="361">
        <f>SUM(C10:C34)</f>
        <v>21158</v>
      </c>
      <c r="D35" s="296">
        <f>SUM(D9/C9)*100</f>
        <v>42.678892144815201</v>
      </c>
      <c r="E35" s="296">
        <f>SUM(E9/C9*100)</f>
        <v>16.958124586444846</v>
      </c>
      <c r="G35" s="772">
        <v>2022</v>
      </c>
      <c r="H35" s="769">
        <v>50402</v>
      </c>
      <c r="I35" s="758">
        <v>19293</v>
      </c>
      <c r="K35" s="766" t="s">
        <v>449</v>
      </c>
      <c r="L35" s="762">
        <v>27664</v>
      </c>
      <c r="M35" s="751">
        <f>SUM(L35-L12)/L12*100</f>
        <v>42.517129462675804</v>
      </c>
      <c r="N35" s="746">
        <v>11166</v>
      </c>
      <c r="O35" s="15">
        <f>SUM(I35-N35)</f>
        <v>8127</v>
      </c>
      <c r="P35" s="742">
        <f>SUM(N35/L35*100)</f>
        <v>40.362926547137072</v>
      </c>
    </row>
    <row r="36" spans="2:27" x14ac:dyDescent="0.25">
      <c r="G36" s="766">
        <v>2023</v>
      </c>
      <c r="H36" s="762">
        <v>43492</v>
      </c>
      <c r="I36" s="756">
        <v>15523</v>
      </c>
      <c r="K36" s="766" t="s">
        <v>448</v>
      </c>
      <c r="L36" s="762">
        <v>23753</v>
      </c>
      <c r="M36" s="751">
        <f>SUM(L36-L12)/L12*100</f>
        <v>22.368759981453813</v>
      </c>
      <c r="N36" s="746">
        <v>10020</v>
      </c>
      <c r="O36" s="15">
        <f>SUM(I36-N36)</f>
        <v>5503</v>
      </c>
      <c r="P36" s="742">
        <f>SUM(N36/L36*100)</f>
        <v>42.184145160611294</v>
      </c>
    </row>
    <row r="37" spans="2:27" ht="15.75" thickBot="1" x14ac:dyDescent="0.3">
      <c r="G37" s="767">
        <v>2024</v>
      </c>
      <c r="H37" s="770"/>
      <c r="I37" s="759"/>
      <c r="K37" s="767" t="s">
        <v>516</v>
      </c>
      <c r="L37" s="764">
        <v>21158</v>
      </c>
      <c r="M37" s="752">
        <f>SUM(L37-L12)/L12*100</f>
        <v>9.0000515171809798</v>
      </c>
      <c r="N37" s="747">
        <v>9030</v>
      </c>
      <c r="O37" s="748"/>
      <c r="P37" s="742">
        <f>SUM(N37/L37*100)</f>
        <v>42.678892144815201</v>
      </c>
    </row>
    <row r="38" spans="2:27" x14ac:dyDescent="0.25">
      <c r="G38" s="11" t="s">
        <v>326</v>
      </c>
      <c r="L38" s="361">
        <f>SUM(L36-L35)</f>
        <v>-3911</v>
      </c>
      <c r="N38" s="296">
        <f>SUM(N36)/L36*100</f>
        <v>42.184145160611294</v>
      </c>
    </row>
    <row r="39" spans="2:27" x14ac:dyDescent="0.25">
      <c r="L39" s="361"/>
      <c r="N39" s="296">
        <f>SUM(N35)/L35*100</f>
        <v>40.362926547137072</v>
      </c>
    </row>
    <row r="41" spans="2:27" x14ac:dyDescent="0.25">
      <c r="AA41" s="743" t="s">
        <v>327</v>
      </c>
    </row>
    <row r="42" spans="2:27" x14ac:dyDescent="0.25">
      <c r="AA42" s="615">
        <v>2003</v>
      </c>
    </row>
    <row r="43" spans="2:27" x14ac:dyDescent="0.25">
      <c r="AA43" s="615">
        <v>2006</v>
      </c>
    </row>
    <row r="44" spans="2:27" x14ac:dyDescent="0.25">
      <c r="AA44" s="615">
        <v>2008</v>
      </c>
    </row>
    <row r="45" spans="2:27" x14ac:dyDescent="0.25">
      <c r="AA45" s="615">
        <v>2010</v>
      </c>
    </row>
    <row r="46" spans="2:27" x14ac:dyDescent="0.25">
      <c r="AA46" s="615" t="s">
        <v>328</v>
      </c>
    </row>
  </sheetData>
  <mergeCells count="1">
    <mergeCell ref="D7:E7"/>
  </mergeCells>
  <printOptions horizontalCentered="1"/>
  <pageMargins left="0.70866141732283472" right="0.70866141732283472" top="1.7716535433070868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T34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2.140625" style="11" customWidth="1"/>
    <col min="3" max="3" width="9.7109375" style="11" customWidth="1"/>
    <col min="4" max="4" width="9.28515625" style="11" customWidth="1"/>
    <col min="5" max="5" width="9.140625" style="11" customWidth="1"/>
    <col min="6" max="6" width="13.140625" style="11" customWidth="1"/>
    <col min="7" max="7" width="13" style="11" customWidth="1"/>
    <col min="8" max="8" width="8.7109375" style="11" customWidth="1"/>
    <col min="9" max="9" width="9.85546875" style="11" customWidth="1"/>
    <col min="10" max="10" width="9.42578125" style="11" customWidth="1"/>
    <col min="11" max="11" width="13.42578125" style="11" customWidth="1"/>
    <col min="12" max="12" width="13.5703125" style="11" customWidth="1"/>
    <col min="13" max="13" width="3.5703125" style="11" customWidth="1"/>
    <col min="14" max="14" width="11.140625" style="11" customWidth="1"/>
    <col min="15" max="15" width="11.28515625" style="11" customWidth="1"/>
    <col min="16" max="16" width="3.28515625" style="11" customWidth="1"/>
    <col min="17" max="17" width="9.140625" style="11"/>
    <col min="18" max="18" width="24.28515625" style="135" bestFit="1" customWidth="1"/>
    <col min="19" max="19" width="15.28515625" style="11" customWidth="1"/>
    <col min="20" max="16384" width="9.140625" style="11"/>
  </cols>
  <sheetData>
    <row r="1" spans="1:20" ht="12.75" customHeight="1" x14ac:dyDescent="0.25">
      <c r="A1" s="593"/>
    </row>
    <row r="2" spans="1:20" x14ac:dyDescent="0.25">
      <c r="B2" s="11" t="s">
        <v>243</v>
      </c>
    </row>
    <row r="3" spans="1:20" x14ac:dyDescent="0.25">
      <c r="B3" s="11" t="s">
        <v>544</v>
      </c>
    </row>
    <row r="4" spans="1:20" ht="9" customHeight="1" thickBot="1" x14ac:dyDescent="0.3"/>
    <row r="5" spans="1:20" ht="33.75" customHeight="1" thickBot="1" x14ac:dyDescent="0.3">
      <c r="B5" s="991" t="s">
        <v>108</v>
      </c>
      <c r="C5" s="989" t="s">
        <v>110</v>
      </c>
      <c r="D5" s="989"/>
      <c r="E5" s="989"/>
      <c r="F5" s="989"/>
      <c r="G5" s="990"/>
      <c r="H5" s="988" t="s">
        <v>111</v>
      </c>
      <c r="I5" s="989"/>
      <c r="J5" s="989"/>
      <c r="K5" s="989"/>
      <c r="L5" s="990"/>
    </row>
    <row r="6" spans="1:20" ht="59.25" customHeight="1" thickBot="1" x14ac:dyDescent="0.3">
      <c r="B6" s="992"/>
      <c r="C6" s="616" t="s">
        <v>425</v>
      </c>
      <c r="D6" s="617" t="s">
        <v>483</v>
      </c>
      <c r="E6" s="618" t="s">
        <v>484</v>
      </c>
      <c r="F6" s="619" t="s">
        <v>426</v>
      </c>
      <c r="G6" s="620" t="s">
        <v>542</v>
      </c>
      <c r="H6" s="621" t="s">
        <v>485</v>
      </c>
      <c r="I6" s="617" t="s">
        <v>486</v>
      </c>
      <c r="J6" s="618" t="s">
        <v>484</v>
      </c>
      <c r="K6" s="619" t="s">
        <v>478</v>
      </c>
      <c r="L6" s="620" t="s">
        <v>487</v>
      </c>
      <c r="N6" s="631" t="s">
        <v>316</v>
      </c>
      <c r="O6" s="631" t="s">
        <v>315</v>
      </c>
      <c r="Q6" s="596" t="s">
        <v>479</v>
      </c>
      <c r="R6" s="611" t="str">
        <f>T(B5)</f>
        <v>powiaty</v>
      </c>
      <c r="S6" s="597" t="str">
        <f>T(F6)</f>
        <v>wzrost/spadek do XII '23 (liczba)</v>
      </c>
    </row>
    <row r="7" spans="1:20" ht="24.75" customHeight="1" thickBot="1" x14ac:dyDescent="0.3">
      <c r="B7" s="622" t="s">
        <v>14</v>
      </c>
      <c r="C7" s="623">
        <f>SUM(C8:C32)</f>
        <v>65064</v>
      </c>
      <c r="D7" s="624">
        <f>SUM(D8:D32)</f>
        <v>67653</v>
      </c>
      <c r="E7" s="625">
        <f>SUM(E8:E32)</f>
        <v>63814</v>
      </c>
      <c r="F7" s="624">
        <f>SUM(E7-D7)</f>
        <v>-3839</v>
      </c>
      <c r="G7" s="626">
        <f>SUM(E7-C7)</f>
        <v>-1250</v>
      </c>
      <c r="H7" s="627">
        <v>8.4</v>
      </c>
      <c r="I7" s="628">
        <v>8.6</v>
      </c>
      <c r="J7" s="629">
        <v>8.1999999999999993</v>
      </c>
      <c r="K7" s="628">
        <f>SUM(J7-I7)</f>
        <v>-0.40000000000000036</v>
      </c>
      <c r="L7" s="630">
        <f>SUM(J7-H7)</f>
        <v>-0.20000000000000107</v>
      </c>
      <c r="N7" s="367" t="s">
        <v>93</v>
      </c>
      <c r="O7" s="367" t="s">
        <v>93</v>
      </c>
      <c r="Q7" s="367" t="s">
        <v>93</v>
      </c>
      <c r="R7" s="367" t="s">
        <v>93</v>
      </c>
      <c r="S7" s="367" t="s">
        <v>93</v>
      </c>
      <c r="T7" s="609"/>
    </row>
    <row r="8" spans="1:20" ht="16.5" customHeight="1" x14ac:dyDescent="0.25">
      <c r="B8" s="53" t="s">
        <v>15</v>
      </c>
      <c r="C8" s="411">
        <v>984</v>
      </c>
      <c r="D8" s="30">
        <v>1085</v>
      </c>
      <c r="E8" s="34">
        <v>1031</v>
      </c>
      <c r="F8" s="698">
        <f>SUM(E8-D8)</f>
        <v>-54</v>
      </c>
      <c r="G8" s="140">
        <f>SUM(E8-C8)</f>
        <v>47</v>
      </c>
      <c r="H8" s="329">
        <v>14.3</v>
      </c>
      <c r="I8" s="412">
        <v>15.4</v>
      </c>
      <c r="J8" s="413">
        <v>14.9</v>
      </c>
      <c r="K8" s="524">
        <f t="shared" ref="K8:K12" si="0">SUM(J8-I8)</f>
        <v>-0.5</v>
      </c>
      <c r="L8" s="31">
        <f t="shared" ref="L8:L16" si="1">SUM(J8-H8)</f>
        <v>0.59999999999999964</v>
      </c>
      <c r="N8" s="179">
        <f>RANK(F8,F8:F32,0)</f>
        <v>5</v>
      </c>
      <c r="O8" s="179">
        <f>RANK(F8,F8:F32,1)</f>
        <v>21</v>
      </c>
      <c r="Q8" s="598">
        <f>RANK(F8,$F$8:$F$32,1)+COUNTIF($F$8:F8,F8)-1</f>
        <v>21</v>
      </c>
      <c r="R8" s="612" t="str">
        <f>INDEX(B8:L32,MATCH(1,Q8:Q32,0),1)</f>
        <v>brzozowski</v>
      </c>
      <c r="S8" s="599">
        <f>INDEX(B8:L32,MATCH(1,Q8:Q32,0),5)</f>
        <v>-443</v>
      </c>
    </row>
    <row r="9" spans="1:20" ht="15" customHeight="1" x14ac:dyDescent="0.25">
      <c r="B9" s="12" t="s">
        <v>16</v>
      </c>
      <c r="C9" s="289">
        <v>3561</v>
      </c>
      <c r="D9" s="13">
        <v>3848</v>
      </c>
      <c r="E9" s="32">
        <v>3405</v>
      </c>
      <c r="F9" s="634">
        <f>SUM(E9-D9)</f>
        <v>-443</v>
      </c>
      <c r="G9" s="15">
        <f>SUM(E9-C9)</f>
        <v>-156</v>
      </c>
      <c r="H9" s="328">
        <v>19.600000000000001</v>
      </c>
      <c r="I9" s="181">
        <v>20.8</v>
      </c>
      <c r="J9" s="385">
        <v>18.899999999999999</v>
      </c>
      <c r="K9" s="525">
        <f t="shared" si="0"/>
        <v>-1.9000000000000021</v>
      </c>
      <c r="L9" s="25">
        <f t="shared" si="1"/>
        <v>-0.70000000000000284</v>
      </c>
      <c r="N9" s="9">
        <f>RANK(F9,F8:F32,0)</f>
        <v>25</v>
      </c>
      <c r="O9" s="9">
        <f>RANK(F9,F8:F32,1)</f>
        <v>1</v>
      </c>
      <c r="Q9" s="598">
        <f>RANK(F9,$F$8:$F$32,1)+COUNTIF($F$8:F9,F9)-1</f>
        <v>1</v>
      </c>
      <c r="R9" s="612" t="str">
        <f>INDEX(B8:L32,MATCH(2,Q8:Q32,0),1)</f>
        <v>jasielski</v>
      </c>
      <c r="S9" s="598">
        <f>INDEX(B8:L32,MATCH(2,Q8:Q32,0),5)</f>
        <v>-414</v>
      </c>
    </row>
    <row r="10" spans="1:20" ht="15" customHeight="1" x14ac:dyDescent="0.25">
      <c r="B10" s="12" t="s">
        <v>17</v>
      </c>
      <c r="C10" s="289">
        <v>2393</v>
      </c>
      <c r="D10" s="13">
        <v>2433</v>
      </c>
      <c r="E10" s="32">
        <v>2260</v>
      </c>
      <c r="F10" s="634">
        <f>SUM(E10-D10)</f>
        <v>-173</v>
      </c>
      <c r="G10" s="15">
        <f t="shared" ref="G10:G32" si="2">SUM(E10-C10)</f>
        <v>-133</v>
      </c>
      <c r="H10" s="328">
        <v>4.7</v>
      </c>
      <c r="I10" s="181">
        <v>4.7</v>
      </c>
      <c r="J10" s="385">
        <v>4.4000000000000004</v>
      </c>
      <c r="K10" s="525">
        <f t="shared" si="0"/>
        <v>-0.29999999999999982</v>
      </c>
      <c r="L10" s="25">
        <f t="shared" si="1"/>
        <v>-0.29999999999999982</v>
      </c>
      <c r="N10" s="9">
        <f>RANK(F10,F8:F32,0)</f>
        <v>16</v>
      </c>
      <c r="O10" s="9">
        <f>RANK(F10,F8:F32,1)</f>
        <v>10</v>
      </c>
      <c r="Q10" s="598">
        <f>RANK(F10,$F$8:$F$32,1)+COUNTIF($F$8:F10,F10)-1</f>
        <v>10</v>
      </c>
      <c r="R10" s="612" t="str">
        <f>INDEX(B8:L32,MATCH(3,Q8:Q32,0),1)</f>
        <v>leżajski</v>
      </c>
      <c r="S10" s="598">
        <f>INDEX(B8:L32,MATCH(3,Q8:Q32,0),5)</f>
        <v>-296</v>
      </c>
    </row>
    <row r="11" spans="1:20" ht="15.75" customHeight="1" x14ac:dyDescent="0.25">
      <c r="B11" s="12" t="s">
        <v>18</v>
      </c>
      <c r="C11" s="289">
        <v>4248</v>
      </c>
      <c r="D11" s="13">
        <v>4299</v>
      </c>
      <c r="E11" s="32">
        <v>4239</v>
      </c>
      <c r="F11" s="634">
        <f>SUM(E11-D11)</f>
        <v>-60</v>
      </c>
      <c r="G11" s="15">
        <f t="shared" si="2"/>
        <v>-9</v>
      </c>
      <c r="H11" s="328">
        <v>10.5</v>
      </c>
      <c r="I11" s="181">
        <v>10.6</v>
      </c>
      <c r="J11" s="385">
        <v>10.5</v>
      </c>
      <c r="K11" s="525">
        <f t="shared" si="0"/>
        <v>-9.9999999999999645E-2</v>
      </c>
      <c r="L11" s="25">
        <f t="shared" si="1"/>
        <v>0</v>
      </c>
      <c r="N11" s="9">
        <f>RANK(F11,F8:F32,0)</f>
        <v>7</v>
      </c>
      <c r="O11" s="9">
        <f>RANK(F11,F8:F32,1)</f>
        <v>19</v>
      </c>
      <c r="Q11" s="598">
        <f>RANK(F11,$F$8:$F$32,1)+COUNTIF($F$8:F11,F11)-1</f>
        <v>19</v>
      </c>
      <c r="R11" s="612" t="str">
        <f>INDEX(B8:L32,MATCH(4,Q8:Q32,0),1)</f>
        <v>lubaczowski</v>
      </c>
      <c r="S11" s="598">
        <f>INDEX(B8:L32,MATCH(4,Q8:Q32,0),5)</f>
        <v>-281</v>
      </c>
    </row>
    <row r="12" spans="1:20" ht="16.5" customHeight="1" x14ac:dyDescent="0.25">
      <c r="B12" s="12" t="s">
        <v>19</v>
      </c>
      <c r="C12" s="289">
        <v>4686</v>
      </c>
      <c r="D12" s="13">
        <v>5107</v>
      </c>
      <c r="E12" s="32">
        <v>4693</v>
      </c>
      <c r="F12" s="634">
        <f t="shared" ref="F12:F32" si="3">SUM(E12-D12)</f>
        <v>-414</v>
      </c>
      <c r="G12" s="15">
        <f t="shared" si="2"/>
        <v>7</v>
      </c>
      <c r="H12" s="328">
        <v>12.3</v>
      </c>
      <c r="I12" s="181">
        <v>13.2</v>
      </c>
      <c r="J12" s="385">
        <v>12.3</v>
      </c>
      <c r="K12" s="525">
        <f t="shared" si="0"/>
        <v>-0.89999999999999858</v>
      </c>
      <c r="L12" s="25">
        <f t="shared" si="1"/>
        <v>0</v>
      </c>
      <c r="N12" s="9">
        <f>RANK(F12,F8:F32,0)</f>
        <v>24</v>
      </c>
      <c r="O12" s="9">
        <f>RANK(F12,F8:F32,1)</f>
        <v>2</v>
      </c>
      <c r="Q12" s="598">
        <f>RANK(F12,$F$8:$F$32,1)+COUNTIF($F$8:F12,F12)-1</f>
        <v>2</v>
      </c>
      <c r="R12" s="612" t="str">
        <f>INDEX(B8:L32,MATCH(5,Q8:Q32,0),1)</f>
        <v>przemyski</v>
      </c>
      <c r="S12" s="598">
        <f>INDEX(B8:L32,MATCH(5,Q8:Q32,0),5)</f>
        <v>-252</v>
      </c>
    </row>
    <row r="13" spans="1:20" ht="15.75" customHeight="1" x14ac:dyDescent="0.25">
      <c r="B13" s="12" t="s">
        <v>20</v>
      </c>
      <c r="C13" s="289">
        <v>1519</v>
      </c>
      <c r="D13" s="13">
        <v>1494</v>
      </c>
      <c r="E13" s="32">
        <v>1509</v>
      </c>
      <c r="F13" s="13">
        <f t="shared" si="3"/>
        <v>15</v>
      </c>
      <c r="G13" s="15">
        <f t="shared" si="2"/>
        <v>-10</v>
      </c>
      <c r="H13" s="328">
        <v>7.8</v>
      </c>
      <c r="I13" s="181">
        <v>7.6</v>
      </c>
      <c r="J13" s="385">
        <v>7.7</v>
      </c>
      <c r="K13" s="525">
        <f t="shared" ref="K13:K32" si="4">SUM(J13-I13)</f>
        <v>0.10000000000000053</v>
      </c>
      <c r="L13" s="25">
        <f t="shared" si="1"/>
        <v>-9.9999999999999645E-2</v>
      </c>
      <c r="N13" s="9">
        <f>RANK(F13,F8:F32,0)</f>
        <v>1</v>
      </c>
      <c r="O13" s="9">
        <f>RANK(F13,F8:F32,1)</f>
        <v>25</v>
      </c>
      <c r="Q13" s="598">
        <f>RANK(F13,$F$8:$F$32,1)+COUNTIF($F$8:F13,F13)-1</f>
        <v>25</v>
      </c>
      <c r="R13" s="612" t="str">
        <f>INDEX(B8:L32,MATCH(6,Q8:Q32,0),1)</f>
        <v>niżański</v>
      </c>
      <c r="S13" s="598">
        <f>INDEX(B8:L32,MATCH(6,Q8:Q32,0),5)</f>
        <v>-249</v>
      </c>
    </row>
    <row r="14" spans="1:20" x14ac:dyDescent="0.25">
      <c r="B14" s="12" t="s">
        <v>21</v>
      </c>
      <c r="C14" s="289">
        <v>2076</v>
      </c>
      <c r="D14" s="13">
        <v>2221</v>
      </c>
      <c r="E14" s="32">
        <v>2136</v>
      </c>
      <c r="F14" s="634">
        <f>SUM(E14-D14)</f>
        <v>-85</v>
      </c>
      <c r="G14" s="15">
        <f t="shared" si="2"/>
        <v>60</v>
      </c>
      <c r="H14" s="328">
        <v>7.8</v>
      </c>
      <c r="I14" s="181">
        <v>8.3000000000000007</v>
      </c>
      <c r="J14" s="385">
        <v>8</v>
      </c>
      <c r="K14" s="525">
        <f t="shared" si="4"/>
        <v>-0.30000000000000071</v>
      </c>
      <c r="L14" s="25">
        <f t="shared" si="1"/>
        <v>0.20000000000000018</v>
      </c>
      <c r="N14" s="9">
        <f>RANK(F14,F8:F32,0)</f>
        <v>10</v>
      </c>
      <c r="O14" s="9">
        <f>RANK(F14,F8:F32,1)</f>
        <v>16</v>
      </c>
      <c r="Q14" s="598">
        <f>RANK(F14,$F$8:$F$32,1)+COUNTIF($F$8:F14,F14)-1</f>
        <v>16</v>
      </c>
      <c r="R14" s="613" t="str">
        <f>INDEX(B8:L32,MATCH(7,Q8:Q32,0),1)</f>
        <v>rzeszowski</v>
      </c>
      <c r="S14" s="598">
        <f>INDEX(B8:L32,MATCH(7,Q8:Q32,0),5)</f>
        <v>-247</v>
      </c>
    </row>
    <row r="15" spans="1:20" x14ac:dyDescent="0.25">
      <c r="B15" s="632" t="s">
        <v>22</v>
      </c>
      <c r="C15" s="633">
        <v>1571</v>
      </c>
      <c r="D15" s="634">
        <v>1716</v>
      </c>
      <c r="E15" s="635">
        <v>1531</v>
      </c>
      <c r="F15" s="634">
        <f t="shared" si="3"/>
        <v>-185</v>
      </c>
      <c r="G15" s="636">
        <f t="shared" si="2"/>
        <v>-40</v>
      </c>
      <c r="H15" s="637">
        <v>17.5</v>
      </c>
      <c r="I15" s="638">
        <v>18.8</v>
      </c>
      <c r="J15" s="639">
        <v>17.2</v>
      </c>
      <c r="K15" s="640">
        <f t="shared" si="4"/>
        <v>-1.6000000000000014</v>
      </c>
      <c r="L15" s="641">
        <f t="shared" si="1"/>
        <v>-0.30000000000000071</v>
      </c>
      <c r="N15" s="642">
        <f>RANK(F15,F8:F32,0)</f>
        <v>17</v>
      </c>
      <c r="O15" s="642">
        <f>RANK(F15,F8:F32,1)</f>
        <v>9</v>
      </c>
      <c r="Q15" s="598">
        <f>RANK(F15,$F$8:$F$32,1)+COUNTIF($F$8:F15,F15)-1</f>
        <v>9</v>
      </c>
      <c r="R15" s="612" t="str">
        <f>INDEX(B8:L32,MATCH(8,Q8:Q32,0),1)</f>
        <v>przeworski</v>
      </c>
      <c r="S15" s="598">
        <f>INDEX(B8:L32,MATCH(8,Q8:Q32,0),5)</f>
        <v>-236</v>
      </c>
    </row>
    <row r="16" spans="1:20" ht="16.5" customHeight="1" x14ac:dyDescent="0.25">
      <c r="B16" s="12" t="s">
        <v>23</v>
      </c>
      <c r="C16" s="289">
        <v>2898</v>
      </c>
      <c r="D16" s="13">
        <v>3105</v>
      </c>
      <c r="E16" s="32">
        <v>2809</v>
      </c>
      <c r="F16" s="634">
        <f t="shared" si="3"/>
        <v>-296</v>
      </c>
      <c r="G16" s="15">
        <f t="shared" si="2"/>
        <v>-89</v>
      </c>
      <c r="H16" s="328">
        <v>13.7</v>
      </c>
      <c r="I16" s="181">
        <v>14.5</v>
      </c>
      <c r="J16" s="385">
        <v>13.4</v>
      </c>
      <c r="K16" s="525">
        <f t="shared" si="4"/>
        <v>-1.0999999999999996</v>
      </c>
      <c r="L16" s="25">
        <f t="shared" si="1"/>
        <v>-0.29999999999999893</v>
      </c>
      <c r="N16" s="9">
        <f>RANK(F16,F8:F32,0)</f>
        <v>23</v>
      </c>
      <c r="O16" s="9">
        <f>RANK(F16,F8:F32,1)</f>
        <v>3</v>
      </c>
      <c r="Q16" s="598">
        <f>RANK(F16,$F$8:$F$32,1)+COUNTIF($F$8:F16,F16)-1</f>
        <v>3</v>
      </c>
      <c r="R16" s="612" t="str">
        <f>INDEX(B8:L32,MATCH(9,Q8:Q32,0),1)</f>
        <v>leski</v>
      </c>
      <c r="S16" s="598">
        <f>INDEX(B8:L32,MATCH(9,Q8:Q32,0),5)</f>
        <v>-185</v>
      </c>
    </row>
    <row r="17" spans="2:19" x14ac:dyDescent="0.25">
      <c r="B17" s="12" t="s">
        <v>24</v>
      </c>
      <c r="C17" s="289">
        <v>1573</v>
      </c>
      <c r="D17" s="13">
        <v>1867</v>
      </c>
      <c r="E17" s="32">
        <v>1586</v>
      </c>
      <c r="F17" s="634">
        <f t="shared" si="3"/>
        <v>-281</v>
      </c>
      <c r="G17" s="15">
        <f t="shared" si="2"/>
        <v>13</v>
      </c>
      <c r="H17" s="328">
        <v>9.1</v>
      </c>
      <c r="I17" s="181">
        <v>10.6</v>
      </c>
      <c r="J17" s="385">
        <v>9.1999999999999993</v>
      </c>
      <c r="K17" s="525">
        <f t="shared" si="4"/>
        <v>-1.4000000000000004</v>
      </c>
      <c r="L17" s="25">
        <f t="shared" ref="L17:L32" si="5">SUM(J17-H17)</f>
        <v>9.9999999999999645E-2</v>
      </c>
      <c r="N17" s="9">
        <f>RANK(F17,F8:F32,0)</f>
        <v>22</v>
      </c>
      <c r="O17" s="9">
        <f>RANK(F17,F8:F32,1)</f>
        <v>4</v>
      </c>
      <c r="Q17" s="598">
        <f>RANK(F17,$F$8:$F$32,1)+COUNTIF($F$8:F17,F17)-1</f>
        <v>4</v>
      </c>
      <c r="R17" s="612" t="str">
        <f>INDEX(B8:L32,MATCH(10,Q8:Q32,0),1)</f>
        <v>dębicki</v>
      </c>
      <c r="S17" s="598">
        <f>INDEX(B8:L32,MATCH(10,Q8:Q32,0),5)</f>
        <v>-173</v>
      </c>
    </row>
    <row r="18" spans="2:19" x14ac:dyDescent="0.25">
      <c r="B18" s="12" t="s">
        <v>25</v>
      </c>
      <c r="C18" s="289">
        <v>2476</v>
      </c>
      <c r="D18" s="13">
        <v>2547</v>
      </c>
      <c r="E18" s="32">
        <v>2401</v>
      </c>
      <c r="F18" s="634">
        <f t="shared" si="3"/>
        <v>-146</v>
      </c>
      <c r="G18" s="15">
        <f t="shared" si="2"/>
        <v>-75</v>
      </c>
      <c r="H18" s="328">
        <v>9.4</v>
      </c>
      <c r="I18" s="181">
        <v>9.6</v>
      </c>
      <c r="J18" s="385">
        <v>9.1</v>
      </c>
      <c r="K18" s="525">
        <f t="shared" si="4"/>
        <v>-0.5</v>
      </c>
      <c r="L18" s="25">
        <f t="shared" si="5"/>
        <v>-0.30000000000000071</v>
      </c>
      <c r="N18" s="9">
        <f>RANK(F18,F8:F32,0)</f>
        <v>15</v>
      </c>
      <c r="O18" s="9">
        <f>RANK(F18,F8:F32,1)</f>
        <v>11</v>
      </c>
      <c r="Q18" s="598">
        <f>RANK(F18,$F$8:$F$32,1)+COUNTIF($F$8:F18,F18)-1</f>
        <v>11</v>
      </c>
      <c r="R18" s="612" t="str">
        <f>INDEX(B8:L32,MATCH(11,Q8:Q32,0),1)</f>
        <v>łańcucki</v>
      </c>
      <c r="S18" s="598">
        <f>INDEX(B8:L32,MATCH(11,Q8:Q32,0),5)</f>
        <v>-146</v>
      </c>
    </row>
    <row r="19" spans="2:19" x14ac:dyDescent="0.25">
      <c r="B19" s="12" t="s">
        <v>26</v>
      </c>
      <c r="C19" s="289">
        <v>2784</v>
      </c>
      <c r="D19" s="13">
        <v>3017</v>
      </c>
      <c r="E19" s="32">
        <v>2872</v>
      </c>
      <c r="F19" s="634">
        <f t="shared" si="3"/>
        <v>-145</v>
      </c>
      <c r="G19" s="15">
        <f t="shared" si="2"/>
        <v>88</v>
      </c>
      <c r="H19" s="328">
        <v>4.8</v>
      </c>
      <c r="I19" s="181">
        <v>5.2</v>
      </c>
      <c r="J19" s="385">
        <v>5</v>
      </c>
      <c r="K19" s="525">
        <f t="shared" si="4"/>
        <v>-0.20000000000000018</v>
      </c>
      <c r="L19" s="25">
        <f t="shared" si="5"/>
        <v>0.20000000000000018</v>
      </c>
      <c r="N19" s="9">
        <f>RANK(F19,F8:F32,0)</f>
        <v>14</v>
      </c>
      <c r="O19" s="9">
        <f>RANK(F19,F8:F32,1)</f>
        <v>12</v>
      </c>
      <c r="Q19" s="598">
        <f>RANK(F19,$F$8:$F$32,1)+COUNTIF($F$8:F19,F19)-1</f>
        <v>12</v>
      </c>
      <c r="R19" s="612" t="str">
        <f>INDEX(B8:L32,MATCH(12,Q8:Q32,0),1)</f>
        <v>mielecki</v>
      </c>
      <c r="S19" s="598">
        <f>INDEX(B8:L32,MATCH(12,Q8:Q32,0),5)</f>
        <v>-145</v>
      </c>
    </row>
    <row r="20" spans="2:19" x14ac:dyDescent="0.25">
      <c r="B20" s="12" t="s">
        <v>27</v>
      </c>
      <c r="C20" s="289">
        <v>3009</v>
      </c>
      <c r="D20" s="13">
        <v>3043</v>
      </c>
      <c r="E20" s="32">
        <v>2794</v>
      </c>
      <c r="F20" s="634">
        <f t="shared" si="3"/>
        <v>-249</v>
      </c>
      <c r="G20" s="15">
        <f t="shared" si="2"/>
        <v>-215</v>
      </c>
      <c r="H20" s="328">
        <v>16.3</v>
      </c>
      <c r="I20" s="181">
        <v>16.399999999999999</v>
      </c>
      <c r="J20" s="385">
        <v>15.3</v>
      </c>
      <c r="K20" s="525">
        <f t="shared" si="4"/>
        <v>-1.0999999999999979</v>
      </c>
      <c r="L20" s="25">
        <f t="shared" si="5"/>
        <v>-1</v>
      </c>
      <c r="N20" s="9">
        <f>RANK(F20,F8:F32,0)</f>
        <v>20</v>
      </c>
      <c r="O20" s="9">
        <f>RANK(F20,F8:F32,1)</f>
        <v>6</v>
      </c>
      <c r="Q20" s="598">
        <f>RANK(F20,$F$8:$F$32,1)+COUNTIF($F$8:F20,F20)-1</f>
        <v>6</v>
      </c>
      <c r="R20" s="612" t="str">
        <f>INDEX(B8:L32,MATCH(13,Q8:Q32,0),1)</f>
        <v>strzyżowski</v>
      </c>
      <c r="S20" s="598">
        <f>INDEX(B8:L32,MATCH(13,Q8:Q32,0),5)</f>
        <v>-117</v>
      </c>
    </row>
    <row r="21" spans="2:19" x14ac:dyDescent="0.25">
      <c r="B21" s="16" t="s">
        <v>28</v>
      </c>
      <c r="C21" s="289">
        <v>2794</v>
      </c>
      <c r="D21" s="13">
        <v>2963</v>
      </c>
      <c r="E21" s="32">
        <v>2711</v>
      </c>
      <c r="F21" s="634">
        <f t="shared" si="3"/>
        <v>-252</v>
      </c>
      <c r="G21" s="15">
        <f t="shared" si="2"/>
        <v>-83</v>
      </c>
      <c r="H21" s="328">
        <v>14.9</v>
      </c>
      <c r="I21" s="181">
        <v>15.5</v>
      </c>
      <c r="J21" s="385">
        <v>14.5</v>
      </c>
      <c r="K21" s="525">
        <f t="shared" si="4"/>
        <v>-1</v>
      </c>
      <c r="L21" s="25">
        <f t="shared" si="5"/>
        <v>-0.40000000000000036</v>
      </c>
      <c r="N21" s="9">
        <f>RANK(F21,F8:F32,0)</f>
        <v>21</v>
      </c>
      <c r="O21" s="9">
        <f>RANK(F21,F8:F32,1)</f>
        <v>5</v>
      </c>
      <c r="Q21" s="598">
        <f>RANK(F21,$F$8:$F$32,1)+COUNTIF($F$8:F21,F21)-1</f>
        <v>5</v>
      </c>
      <c r="R21" s="612" t="str">
        <f>INDEX(B8:L32,MATCH(14,Q8:Q32,0),1)</f>
        <v>Przemyśl</v>
      </c>
      <c r="S21" s="598">
        <f>INDEX(B8:L32,MATCH(14,Q8:Q32,0),5)</f>
        <v>-106</v>
      </c>
    </row>
    <row r="22" spans="2:19" x14ac:dyDescent="0.25">
      <c r="B22" s="16" t="s">
        <v>29</v>
      </c>
      <c r="C22" s="289">
        <v>3149</v>
      </c>
      <c r="D22" s="13">
        <v>3397</v>
      </c>
      <c r="E22" s="32">
        <v>3161</v>
      </c>
      <c r="F22" s="634">
        <f t="shared" si="3"/>
        <v>-236</v>
      </c>
      <c r="G22" s="15">
        <f t="shared" si="2"/>
        <v>12</v>
      </c>
      <c r="H22" s="328">
        <v>12.8</v>
      </c>
      <c r="I22" s="181">
        <v>13.6</v>
      </c>
      <c r="J22" s="385">
        <v>12.8</v>
      </c>
      <c r="K22" s="525">
        <f t="shared" si="4"/>
        <v>-0.79999999999999893</v>
      </c>
      <c r="L22" s="25">
        <f t="shared" si="5"/>
        <v>0</v>
      </c>
      <c r="N22" s="9">
        <f>RANK(F22,F8:F32,0)</f>
        <v>18</v>
      </c>
      <c r="O22" s="9">
        <f>RANK(F22,F8:F32,1)</f>
        <v>8</v>
      </c>
      <c r="Q22" s="598">
        <f>RANK(F22,$F$8:$F$32,1)+COUNTIF($F$8:F22,F22)-1</f>
        <v>8</v>
      </c>
      <c r="R22" s="612" t="str">
        <f>INDEX(B8:L32,MATCH(15,Q8:Q32,0),1)</f>
        <v>Rzeszów</v>
      </c>
      <c r="S22" s="598">
        <f>INDEX(B8:L32,MATCH(15,Q8:Q32,0),5)</f>
        <v>-100</v>
      </c>
    </row>
    <row r="23" spans="2:19" x14ac:dyDescent="0.25">
      <c r="B23" s="16" t="s">
        <v>30</v>
      </c>
      <c r="C23" s="289">
        <v>2559</v>
      </c>
      <c r="D23" s="13">
        <v>2551</v>
      </c>
      <c r="E23" s="32">
        <v>2556</v>
      </c>
      <c r="F23" s="13">
        <f t="shared" si="3"/>
        <v>5</v>
      </c>
      <c r="G23" s="15">
        <f t="shared" si="2"/>
        <v>-3</v>
      </c>
      <c r="H23" s="328">
        <v>10.4</v>
      </c>
      <c r="I23" s="181">
        <v>10.4</v>
      </c>
      <c r="J23" s="385">
        <v>10.4</v>
      </c>
      <c r="K23" s="525">
        <f t="shared" si="4"/>
        <v>0</v>
      </c>
      <c r="L23" s="25">
        <f t="shared" si="5"/>
        <v>0</v>
      </c>
      <c r="N23" s="9">
        <f>RANK(F23,F8:F32,0)</f>
        <v>2</v>
      </c>
      <c r="O23" s="9">
        <f>RANK(F23,F8:F32,1)</f>
        <v>24</v>
      </c>
      <c r="Q23" s="598">
        <f>RANK(F23,$F$8:$F$32,1)+COUNTIF($F$8:F23,F23)-1</f>
        <v>24</v>
      </c>
      <c r="R23" s="612" t="str">
        <f>INDEX(B8:L32,MATCH(16,Q8:Q32,0),1)</f>
        <v>krośnieński</v>
      </c>
      <c r="S23" s="598">
        <f>INDEX(B8:L32,MATCH(16,Q8:Q32,0),5)</f>
        <v>-85</v>
      </c>
    </row>
    <row r="24" spans="2:19" x14ac:dyDescent="0.25">
      <c r="B24" s="16" t="s">
        <v>31</v>
      </c>
      <c r="C24" s="289">
        <v>4595</v>
      </c>
      <c r="D24" s="13">
        <v>4670</v>
      </c>
      <c r="E24" s="32">
        <v>4423</v>
      </c>
      <c r="F24" s="634">
        <f t="shared" si="3"/>
        <v>-247</v>
      </c>
      <c r="G24" s="15">
        <f t="shared" si="2"/>
        <v>-172</v>
      </c>
      <c r="H24" s="328">
        <v>7.5</v>
      </c>
      <c r="I24" s="181">
        <v>7.6</v>
      </c>
      <c r="J24" s="385">
        <v>7.3</v>
      </c>
      <c r="K24" s="525">
        <f t="shared" si="4"/>
        <v>-0.29999999999999982</v>
      </c>
      <c r="L24" s="25">
        <f t="shared" si="5"/>
        <v>-0.20000000000000018</v>
      </c>
      <c r="N24" s="9">
        <f>RANK(F24,F8:F32,0)</f>
        <v>19</v>
      </c>
      <c r="O24" s="9">
        <f>RANK(F24,F8:F32,1)</f>
        <v>7</v>
      </c>
      <c r="Q24" s="598">
        <f>RANK(F24,$F$8:$F$32,1)+COUNTIF($F$8:F24,F24)-1</f>
        <v>7</v>
      </c>
      <c r="R24" s="612" t="str">
        <f>INDEX(B8:L32,MATCH(17,Q8:Q32,0),1)</f>
        <v>stalowowolski</v>
      </c>
      <c r="S24" s="598">
        <f>INDEX(B8:L32,MATCH(17,Q8:Q32,0),5)</f>
        <v>-83</v>
      </c>
    </row>
    <row r="25" spans="2:19" x14ac:dyDescent="0.25">
      <c r="B25" s="16" t="s">
        <v>32</v>
      </c>
      <c r="C25" s="289">
        <v>2644</v>
      </c>
      <c r="D25" s="13">
        <v>2737</v>
      </c>
      <c r="E25" s="32">
        <v>2659</v>
      </c>
      <c r="F25" s="634">
        <f t="shared" si="3"/>
        <v>-78</v>
      </c>
      <c r="G25" s="15">
        <f t="shared" si="2"/>
        <v>15</v>
      </c>
      <c r="H25" s="328">
        <v>7.9</v>
      </c>
      <c r="I25" s="181">
        <v>8.1</v>
      </c>
      <c r="J25" s="385">
        <v>7.9</v>
      </c>
      <c r="K25" s="525">
        <f t="shared" si="4"/>
        <v>-0.19999999999999929</v>
      </c>
      <c r="L25" s="25">
        <f t="shared" si="5"/>
        <v>0</v>
      </c>
      <c r="N25" s="9">
        <f>RANK(F25,F8:F32,0)</f>
        <v>8</v>
      </c>
      <c r="O25" s="9">
        <f>RANK(F25,F8:F32,1)</f>
        <v>18</v>
      </c>
      <c r="Q25" s="598">
        <f>RANK(F25,$F$8:$F$32,1)+COUNTIF($F$8:F25,F25)-1</f>
        <v>18</v>
      </c>
      <c r="R25" s="612" t="str">
        <f>INDEX(B8:L32,MATCH(18,Q8:Q32,0),1)</f>
        <v>sanocki</v>
      </c>
      <c r="S25" s="598">
        <f>INDEX(B8:L32,MATCH(18,Q8:Q32,0),5)</f>
        <v>-78</v>
      </c>
    </row>
    <row r="26" spans="2:19" x14ac:dyDescent="0.25">
      <c r="B26" s="16" t="s">
        <v>33</v>
      </c>
      <c r="C26" s="289">
        <v>1853</v>
      </c>
      <c r="D26" s="13">
        <v>1943</v>
      </c>
      <c r="E26" s="32">
        <v>1860</v>
      </c>
      <c r="F26" s="634">
        <f t="shared" si="3"/>
        <v>-83</v>
      </c>
      <c r="G26" s="15">
        <f t="shared" si="2"/>
        <v>7</v>
      </c>
      <c r="H26" s="328">
        <v>4.5999999999999996</v>
      </c>
      <c r="I26" s="181">
        <v>4.8</v>
      </c>
      <c r="J26" s="385">
        <v>4.5999999999999996</v>
      </c>
      <c r="K26" s="525">
        <f t="shared" si="4"/>
        <v>-0.20000000000000018</v>
      </c>
      <c r="L26" s="25">
        <f t="shared" si="5"/>
        <v>0</v>
      </c>
      <c r="N26" s="9">
        <f>RANK(F26,F8:F32,0)</f>
        <v>9</v>
      </c>
      <c r="O26" s="9">
        <f>RANK(F26,F8:F32,1)</f>
        <v>17</v>
      </c>
      <c r="Q26" s="598">
        <f>RANK(F26,$F$8:$F$32,1)+COUNTIF($F$8:F26,F26)-1</f>
        <v>17</v>
      </c>
      <c r="R26" s="612" t="str">
        <f>INDEX(B8:L32,MATCH(19,Q8:Q32,0),1)</f>
        <v>jarosławski</v>
      </c>
      <c r="S26" s="598">
        <f>INDEX(B8:L32,MATCH(19,Q8:Q32,0),5)</f>
        <v>-60</v>
      </c>
    </row>
    <row r="27" spans="2:19" x14ac:dyDescent="0.25">
      <c r="B27" s="16" t="s">
        <v>34</v>
      </c>
      <c r="C27" s="289">
        <v>3020</v>
      </c>
      <c r="D27" s="13">
        <v>3125</v>
      </c>
      <c r="E27" s="32">
        <v>3008</v>
      </c>
      <c r="F27" s="634">
        <f t="shared" si="3"/>
        <v>-117</v>
      </c>
      <c r="G27" s="15">
        <f t="shared" si="2"/>
        <v>-12</v>
      </c>
      <c r="H27" s="328">
        <v>16.7</v>
      </c>
      <c r="I27" s="181">
        <v>17.100000000000001</v>
      </c>
      <c r="J27" s="385">
        <v>16.7</v>
      </c>
      <c r="K27" s="525">
        <f t="shared" si="4"/>
        <v>-0.40000000000000213</v>
      </c>
      <c r="L27" s="25">
        <f t="shared" si="5"/>
        <v>0</v>
      </c>
      <c r="N27" s="9">
        <f>RANK(F27,F8:F32,0)</f>
        <v>13</v>
      </c>
      <c r="O27" s="9">
        <f>RANK(F27,F8:F32,1)</f>
        <v>13</v>
      </c>
      <c r="Q27" s="598">
        <f>RANK(F27,$F$8:$F$32,1)+COUNTIF($F$8:F27,F27)-1</f>
        <v>13</v>
      </c>
      <c r="R27" s="612" t="str">
        <f>INDEX(B8:L32,MATCH(20,Q8:Q32,0),1)</f>
        <v>tarnobrzeski</v>
      </c>
      <c r="S27" s="598">
        <f>INDEX(B8:L32,MATCH(20,Q8:Q32,0),5)</f>
        <v>-55</v>
      </c>
    </row>
    <row r="28" spans="2:19" x14ac:dyDescent="0.25">
      <c r="B28" s="16" t="s">
        <v>35</v>
      </c>
      <c r="C28" s="289">
        <v>1209</v>
      </c>
      <c r="D28" s="13">
        <v>1251</v>
      </c>
      <c r="E28" s="32">
        <v>1196</v>
      </c>
      <c r="F28" s="634">
        <f t="shared" si="3"/>
        <v>-55</v>
      </c>
      <c r="G28" s="15">
        <f t="shared" si="2"/>
        <v>-13</v>
      </c>
      <c r="H28" s="328">
        <v>7.2</v>
      </c>
      <c r="I28" s="181">
        <v>7.4</v>
      </c>
      <c r="J28" s="385">
        <v>7.1</v>
      </c>
      <c r="K28" s="525">
        <f t="shared" si="4"/>
        <v>-0.30000000000000071</v>
      </c>
      <c r="L28" s="25">
        <f t="shared" si="5"/>
        <v>-0.10000000000000053</v>
      </c>
      <c r="N28" s="9">
        <f>RANK(F28,F8:F32,0)</f>
        <v>6</v>
      </c>
      <c r="O28" s="9">
        <f>RANK(F28,F8:F32,1)</f>
        <v>20</v>
      </c>
      <c r="Q28" s="598">
        <f>RANK(F28,$F$8:$F$32,1)+COUNTIF($F$8:F28,F28)-1</f>
        <v>20</v>
      </c>
      <c r="R28" s="612" t="str">
        <f>INDEX(B8:L32,MATCH(21,Q8:Q32,0),1)</f>
        <v>bieszczadzki</v>
      </c>
      <c r="S28" s="598">
        <f>INDEX(B8:L32,MATCH(21,Q8:Q32,0),5)</f>
        <v>-54</v>
      </c>
    </row>
    <row r="29" spans="2:19" x14ac:dyDescent="0.25">
      <c r="B29" s="16" t="s">
        <v>36</v>
      </c>
      <c r="C29" s="289">
        <v>725</v>
      </c>
      <c r="D29" s="13">
        <v>790</v>
      </c>
      <c r="E29" s="32">
        <v>767</v>
      </c>
      <c r="F29" s="634">
        <f t="shared" si="3"/>
        <v>-23</v>
      </c>
      <c r="G29" s="15">
        <f t="shared" si="2"/>
        <v>42</v>
      </c>
      <c r="H29" s="328">
        <v>2.7</v>
      </c>
      <c r="I29" s="181">
        <v>2.9</v>
      </c>
      <c r="J29" s="385">
        <v>2.8</v>
      </c>
      <c r="K29" s="525">
        <f t="shared" si="4"/>
        <v>-0.10000000000000009</v>
      </c>
      <c r="L29" s="25">
        <f t="shared" si="5"/>
        <v>9.9999999999999645E-2</v>
      </c>
      <c r="N29" s="9">
        <f>RANK(F29,F8:F32,0)</f>
        <v>3</v>
      </c>
      <c r="O29" s="9">
        <f>RANK(F29,F8:F32,1)</f>
        <v>23</v>
      </c>
      <c r="Q29" s="598">
        <f>RANK(F29,$F$8:$F$32,1)+COUNTIF($F$8:F29,F29)-1</f>
        <v>23</v>
      </c>
      <c r="R29" s="612" t="str">
        <f>INDEX(B8:L32,MATCH(22,Q8:Q32,0),1)</f>
        <v>Tarnobrzeg</v>
      </c>
      <c r="S29" s="598">
        <f>INDEX(B8:L32,MATCH(22,Q8:Q32,0),5)</f>
        <v>-31</v>
      </c>
    </row>
    <row r="30" spans="2:19" x14ac:dyDescent="0.25">
      <c r="B30" s="16" t="s">
        <v>37</v>
      </c>
      <c r="C30" s="289">
        <v>2415</v>
      </c>
      <c r="D30" s="13">
        <v>2346</v>
      </c>
      <c r="E30" s="32">
        <v>2240</v>
      </c>
      <c r="F30" s="634">
        <f t="shared" si="3"/>
        <v>-106</v>
      </c>
      <c r="G30" s="15">
        <f t="shared" si="2"/>
        <v>-175</v>
      </c>
      <c r="H30" s="328">
        <v>10.3</v>
      </c>
      <c r="I30" s="181">
        <v>10</v>
      </c>
      <c r="J30" s="385">
        <v>9.6</v>
      </c>
      <c r="K30" s="525">
        <f t="shared" si="4"/>
        <v>-0.40000000000000036</v>
      </c>
      <c r="L30" s="25">
        <f t="shared" si="5"/>
        <v>-0.70000000000000107</v>
      </c>
      <c r="N30" s="9">
        <f>RANK(F30,F8:F32,0)</f>
        <v>12</v>
      </c>
      <c r="O30" s="9">
        <f>RANK(F30,F8:F32,1)</f>
        <v>14</v>
      </c>
      <c r="Q30" s="598">
        <f>RANK(F30,$F$8:$F$32,1)+COUNTIF($F$8:F30,F30)-1</f>
        <v>14</v>
      </c>
      <c r="R30" s="612" t="str">
        <f>INDEX(B8:L32,MATCH(23,Q8:Q32,0),1)</f>
        <v>Krosno</v>
      </c>
      <c r="S30" s="598">
        <f>INDEX(B8:L32,MATCH(23,Q8:Q32,0),5)</f>
        <v>-23</v>
      </c>
    </row>
    <row r="31" spans="2:19" x14ac:dyDescent="0.25">
      <c r="B31" s="16" t="s">
        <v>38</v>
      </c>
      <c r="C31" s="289">
        <v>5288</v>
      </c>
      <c r="D31" s="13">
        <v>5033</v>
      </c>
      <c r="E31" s="32">
        <v>4933</v>
      </c>
      <c r="F31" s="634">
        <f t="shared" si="3"/>
        <v>-100</v>
      </c>
      <c r="G31" s="15">
        <f t="shared" si="2"/>
        <v>-355</v>
      </c>
      <c r="H31" s="328">
        <v>4.3</v>
      </c>
      <c r="I31" s="181">
        <v>4.0999999999999996</v>
      </c>
      <c r="J31" s="385">
        <v>4.0999999999999996</v>
      </c>
      <c r="K31" s="525">
        <f t="shared" si="4"/>
        <v>0</v>
      </c>
      <c r="L31" s="25">
        <f t="shared" si="5"/>
        <v>-0.20000000000000018</v>
      </c>
      <c r="N31" s="9">
        <f>RANK(F31,F8:F32,0)</f>
        <v>11</v>
      </c>
      <c r="O31" s="9">
        <f>RANK(F31,F8:F32,1)</f>
        <v>15</v>
      </c>
      <c r="Q31" s="598">
        <f>RANK(F31,$F$8:$F$32,1)+COUNTIF($F$8:F31,F31)-1</f>
        <v>15</v>
      </c>
      <c r="R31" s="612" t="str">
        <f>INDEX(B8:L32,MATCH(24,Q8:Q32,0),1)</f>
        <v>ropczycko-sędziszowski</v>
      </c>
      <c r="S31" s="598">
        <f>INDEX(B8:L32,MATCH(24,Q8:Q32,0),5)</f>
        <v>5</v>
      </c>
    </row>
    <row r="32" spans="2:19" ht="15.75" thickBot="1" x14ac:dyDescent="0.3">
      <c r="B32" s="17" t="s">
        <v>39</v>
      </c>
      <c r="C32" s="290">
        <v>1035</v>
      </c>
      <c r="D32" s="18">
        <v>1065</v>
      </c>
      <c r="E32" s="35">
        <v>1034</v>
      </c>
      <c r="F32" s="699">
        <f t="shared" si="3"/>
        <v>-31</v>
      </c>
      <c r="G32" s="20">
        <f t="shared" si="2"/>
        <v>-1</v>
      </c>
      <c r="H32" s="326">
        <v>6.8</v>
      </c>
      <c r="I32" s="360">
        <v>7</v>
      </c>
      <c r="J32" s="386">
        <v>6.8</v>
      </c>
      <c r="K32" s="526">
        <f t="shared" si="4"/>
        <v>-0.20000000000000018</v>
      </c>
      <c r="L32" s="26">
        <f t="shared" si="5"/>
        <v>0</v>
      </c>
      <c r="N32" s="5">
        <f>RANK(F32,F8:F32,0)</f>
        <v>4</v>
      </c>
      <c r="O32" s="5">
        <f>RANK(F32,F8:F32,1)</f>
        <v>22</v>
      </c>
      <c r="Q32" s="598">
        <f>RANK(F32,$F$8:$F$32,1)+COUNTIF($F$8:F32,F32)-1</f>
        <v>22</v>
      </c>
      <c r="R32" s="612" t="str">
        <f>INDEX(B8:L32,MATCH(25,Q8:Q32,0),1)</f>
        <v>kolbuszowski</v>
      </c>
      <c r="S32" s="598">
        <f>INDEX(B8:L32,MATCH(25,Q8:Q32,0),5)</f>
        <v>15</v>
      </c>
    </row>
    <row r="33" spans="2:19" x14ac:dyDescent="0.25">
      <c r="B33" s="49" t="s">
        <v>113</v>
      </c>
      <c r="C33" s="49"/>
      <c r="Q33" s="610"/>
      <c r="R33" s="614"/>
      <c r="S33" s="601">
        <f>SUM(S8:S32)</f>
        <v>-3839</v>
      </c>
    </row>
    <row r="34" spans="2:19" x14ac:dyDescent="0.25">
      <c r="Q34" s="600"/>
      <c r="R34" s="615"/>
    </row>
  </sheetData>
  <mergeCells count="3">
    <mergeCell ref="H5:L5"/>
    <mergeCell ref="B5:B6"/>
    <mergeCell ref="C5:G5"/>
  </mergeCells>
  <printOptions horizontalCentered="1"/>
  <pageMargins left="0.78740157480314965" right="0.78740157480314965" top="1.1417322834645669" bottom="0.74803149606299213" header="0.31496062992125984" footer="0.31496062992125984"/>
  <pageSetup paperSize="9" scale="5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  <pageSetUpPr fitToPage="1"/>
  </sheetPr>
  <dimension ref="B2:AG37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4.140625" style="77" customWidth="1"/>
    <col min="2" max="2" width="22" style="77" customWidth="1"/>
    <col min="3" max="3" width="10.28515625" style="77" customWidth="1"/>
    <col min="4" max="4" width="13.85546875" style="77" customWidth="1"/>
    <col min="5" max="5" width="12.42578125" style="77" customWidth="1"/>
    <col min="6" max="6" width="13.7109375" style="77" customWidth="1"/>
    <col min="7" max="7" width="10" style="77" customWidth="1"/>
    <col min="8" max="8" width="13.7109375" style="77" customWidth="1"/>
    <col min="9" max="9" width="12.140625" style="77" customWidth="1"/>
    <col min="10" max="10" width="12.28515625" style="77" customWidth="1"/>
    <col min="11" max="11" width="10.5703125" style="77" customWidth="1"/>
    <col min="12" max="12" width="14" style="77" customWidth="1"/>
    <col min="13" max="13" width="11.5703125" style="77" customWidth="1"/>
    <col min="14" max="14" width="13.42578125" style="77" customWidth="1"/>
    <col min="15" max="15" width="8.85546875" style="77" customWidth="1"/>
    <col min="16" max="16" width="14" style="77" customWidth="1"/>
    <col min="17" max="17" width="12" style="77" customWidth="1"/>
    <col min="18" max="18" width="15.7109375" style="77" customWidth="1"/>
    <col min="19" max="19" width="2.85546875" style="77" customWidth="1"/>
    <col min="20" max="20" width="8.28515625" style="77" customWidth="1"/>
    <col min="21" max="21" width="9.42578125" style="77" customWidth="1"/>
    <col min="22" max="26" width="9.140625" style="77"/>
    <col min="27" max="27" width="8" style="77" customWidth="1"/>
    <col min="28" max="16384" width="9.140625" style="77"/>
  </cols>
  <sheetData>
    <row r="2" spans="2:33" ht="14.45" x14ac:dyDescent="0.3">
      <c r="B2" s="11" t="s">
        <v>579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33" x14ac:dyDescent="0.25">
      <c r="B3" s="11" t="s">
        <v>580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33" x14ac:dyDescent="0.25">
      <c r="B4" s="11" t="s">
        <v>312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2:33" thickBot="1" x14ac:dyDescent="0.35">
      <c r="B5" s="11"/>
      <c r="C5" s="1141"/>
      <c r="D5" s="1141"/>
      <c r="E5" s="1141"/>
      <c r="F5" s="1141"/>
      <c r="G5" s="1142"/>
      <c r="H5" s="1142"/>
      <c r="I5" s="1142"/>
      <c r="J5" s="195"/>
      <c r="K5" s="11"/>
      <c r="L5" s="11"/>
      <c r="M5" s="11"/>
      <c r="N5" s="11"/>
      <c r="O5" s="11"/>
      <c r="P5" s="11"/>
      <c r="Q5" s="11"/>
      <c r="R5" s="11"/>
    </row>
    <row r="6" spans="2:33" x14ac:dyDescent="0.25">
      <c r="B6" s="991" t="s">
        <v>108</v>
      </c>
      <c r="C6" s="1052" t="s">
        <v>424</v>
      </c>
      <c r="D6" s="1053"/>
      <c r="E6" s="1053"/>
      <c r="F6" s="1143"/>
      <c r="G6" s="1026" t="s">
        <v>492</v>
      </c>
      <c r="H6" s="1027"/>
      <c r="I6" s="1027"/>
      <c r="J6" s="1028"/>
      <c r="K6" s="1026" t="s">
        <v>112</v>
      </c>
      <c r="L6" s="1027"/>
      <c r="M6" s="1027"/>
      <c r="N6" s="1028"/>
      <c r="O6" s="1144" t="s">
        <v>380</v>
      </c>
      <c r="P6" s="1145"/>
      <c r="Q6" s="1145"/>
      <c r="R6" s="1146"/>
    </row>
    <row r="7" spans="2:33" x14ac:dyDescent="0.25">
      <c r="B7" s="999"/>
      <c r="C7" s="1109" t="s">
        <v>4</v>
      </c>
      <c r="D7" s="1106" t="s">
        <v>49</v>
      </c>
      <c r="E7" s="1106"/>
      <c r="F7" s="1029" t="s">
        <v>286</v>
      </c>
      <c r="G7" s="984" t="s">
        <v>4</v>
      </c>
      <c r="H7" s="1148" t="s">
        <v>49</v>
      </c>
      <c r="I7" s="1149"/>
      <c r="J7" s="1150" t="s">
        <v>286</v>
      </c>
      <c r="K7" s="1109" t="s">
        <v>161</v>
      </c>
      <c r="L7" s="1106" t="s">
        <v>49</v>
      </c>
      <c r="M7" s="1106"/>
      <c r="N7" s="1029" t="s">
        <v>287</v>
      </c>
      <c r="O7" s="1139" t="s">
        <v>161</v>
      </c>
      <c r="P7" s="1115" t="s">
        <v>49</v>
      </c>
      <c r="Q7" s="1115"/>
      <c r="R7" s="1152" t="s">
        <v>287</v>
      </c>
    </row>
    <row r="8" spans="2:33" ht="75.75" customHeight="1" thickBot="1" x14ac:dyDescent="0.3">
      <c r="B8" s="992"/>
      <c r="C8" s="1085"/>
      <c r="D8" s="631" t="s">
        <v>47</v>
      </c>
      <c r="E8" s="631" t="s">
        <v>48</v>
      </c>
      <c r="F8" s="1138"/>
      <c r="G8" s="1147"/>
      <c r="H8" s="944" t="s">
        <v>47</v>
      </c>
      <c r="I8" s="944" t="s">
        <v>48</v>
      </c>
      <c r="J8" s="1151"/>
      <c r="K8" s="1085"/>
      <c r="L8" s="631" t="s">
        <v>47</v>
      </c>
      <c r="M8" s="631" t="s">
        <v>48</v>
      </c>
      <c r="N8" s="1138"/>
      <c r="O8" s="1140"/>
      <c r="P8" s="705" t="s">
        <v>47</v>
      </c>
      <c r="Q8" s="705" t="s">
        <v>48</v>
      </c>
      <c r="R8" s="1153"/>
      <c r="T8" s="95" t="s">
        <v>517</v>
      </c>
      <c r="U8" s="95">
        <v>1</v>
      </c>
      <c r="V8" s="95">
        <v>2</v>
      </c>
      <c r="W8" s="95">
        <v>3</v>
      </c>
      <c r="X8" s="95">
        <v>4</v>
      </c>
      <c r="Y8" s="95">
        <v>5</v>
      </c>
      <c r="Z8" s="95">
        <v>6</v>
      </c>
      <c r="AA8" s="95" t="s">
        <v>447</v>
      </c>
      <c r="AB8" s="95">
        <v>1</v>
      </c>
      <c r="AC8" s="95">
        <v>2</v>
      </c>
      <c r="AD8" s="95">
        <v>3</v>
      </c>
      <c r="AE8" s="95">
        <v>4</v>
      </c>
      <c r="AF8" s="95">
        <v>5</v>
      </c>
      <c r="AG8" s="95">
        <v>6</v>
      </c>
    </row>
    <row r="9" spans="2:33" ht="27" customHeight="1" thickBot="1" x14ac:dyDescent="0.3">
      <c r="B9" s="168" t="s">
        <v>14</v>
      </c>
      <c r="C9" s="23">
        <f>SUM(C10:C34)</f>
        <v>23753</v>
      </c>
      <c r="D9" s="24">
        <f>SUM(D10:D34)</f>
        <v>10020</v>
      </c>
      <c r="E9" s="24">
        <f>SUM(E10:E34)</f>
        <v>4143</v>
      </c>
      <c r="F9" s="344">
        <f>SUM(AA9)/C9</f>
        <v>17.502126047236139</v>
      </c>
      <c r="G9" s="231">
        <f>SUM(G10:G34)</f>
        <v>21158</v>
      </c>
      <c r="H9" s="232">
        <f>SUM(H10:H34)</f>
        <v>9030</v>
      </c>
      <c r="I9" s="232">
        <f>SUM(I10:I34)</f>
        <v>3588</v>
      </c>
      <c r="J9" s="347">
        <f>SUM(T9)/G9</f>
        <v>19.128981945363456</v>
      </c>
      <c r="K9" s="23">
        <f>SUM(K10:K34)</f>
        <v>-2595</v>
      </c>
      <c r="L9" s="24">
        <f>SUM(L10:L34)</f>
        <v>-990</v>
      </c>
      <c r="M9" s="24">
        <f>SUM(M10:M34)</f>
        <v>-555</v>
      </c>
      <c r="N9" s="344">
        <f>J9-F9</f>
        <v>1.6268558981273173</v>
      </c>
      <c r="O9" s="233">
        <f>SUM(K9)/C9*100</f>
        <v>-10.924935797583462</v>
      </c>
      <c r="P9" s="234">
        <f>SUM(L9)/D9*100</f>
        <v>-9.8802395209580833</v>
      </c>
      <c r="Q9" s="234">
        <f>SUM(M9)/E9*100</f>
        <v>-13.39608979000724</v>
      </c>
      <c r="R9" s="235">
        <f>N9/F9*100</f>
        <v>9.2951901599647293</v>
      </c>
      <c r="T9" s="14">
        <f>SUM(U9:Z9)</f>
        <v>404731</v>
      </c>
      <c r="U9" s="14">
        <f t="shared" ref="U9:Z9" si="0">SUM(U10:U34)</f>
        <v>71027</v>
      </c>
      <c r="V9" s="14">
        <f t="shared" si="0"/>
        <v>70751</v>
      </c>
      <c r="W9" s="14">
        <f t="shared" si="0"/>
        <v>68399</v>
      </c>
      <c r="X9" s="14">
        <f t="shared" si="0"/>
        <v>66247</v>
      </c>
      <c r="Y9" s="14">
        <f t="shared" si="0"/>
        <v>64493</v>
      </c>
      <c r="Z9" s="14">
        <f t="shared" si="0"/>
        <v>63814</v>
      </c>
      <c r="AA9" s="14">
        <f>SUM(AB9:AG9)</f>
        <v>415728</v>
      </c>
      <c r="AB9" s="14">
        <f t="shared" ref="AB9:AG9" si="1">SUM(AB10:AB34)</f>
        <v>72274</v>
      </c>
      <c r="AC9" s="14">
        <f t="shared" si="1"/>
        <v>72068</v>
      </c>
      <c r="AD9" s="14">
        <f t="shared" si="1"/>
        <v>70333</v>
      </c>
      <c r="AE9" s="14">
        <f t="shared" si="1"/>
        <v>68791</v>
      </c>
      <c r="AF9" s="14">
        <f t="shared" si="1"/>
        <v>67198</v>
      </c>
      <c r="AG9" s="14">
        <f t="shared" si="1"/>
        <v>65064</v>
      </c>
    </row>
    <row r="10" spans="2:33" x14ac:dyDescent="0.25">
      <c r="B10" s="170" t="s">
        <v>15</v>
      </c>
      <c r="C10" s="36">
        <v>300</v>
      </c>
      <c r="D10" s="113">
        <v>249</v>
      </c>
      <c r="E10" s="113">
        <v>85</v>
      </c>
      <c r="F10" s="325">
        <f t="shared" ref="F10:F34" si="2">SUM(AA10)/C10</f>
        <v>22.063333333333333</v>
      </c>
      <c r="G10" s="36">
        <v>330</v>
      </c>
      <c r="H10" s="113">
        <v>206</v>
      </c>
      <c r="I10" s="113">
        <v>82</v>
      </c>
      <c r="J10" s="325">
        <f>SUM(T10)/G10</f>
        <v>19.312121212121212</v>
      </c>
      <c r="K10" s="36">
        <f>SUM(G10)-C10</f>
        <v>30</v>
      </c>
      <c r="L10" s="113">
        <f t="shared" ref="L10:L34" si="3">SUM(H10)-D10</f>
        <v>-43</v>
      </c>
      <c r="M10" s="113">
        <f>SUM(I10)-E10</f>
        <v>-3</v>
      </c>
      <c r="N10" s="325">
        <f>J10-F10</f>
        <v>-2.7512121212121201</v>
      </c>
      <c r="O10" s="229">
        <f>SUM(K10)/C10*100</f>
        <v>10</v>
      </c>
      <c r="P10" s="230">
        <f t="shared" ref="P10:P34" si="4">SUM(L10)/D10*100</f>
        <v>-17.269076305220885</v>
      </c>
      <c r="Q10" s="230">
        <f t="shared" ref="Q10:Q34" si="5">SUM(M10)/E10*100</f>
        <v>-3.5294117647058822</v>
      </c>
      <c r="R10" s="37">
        <f>N10/F10*100</f>
        <v>-12.469612273207979</v>
      </c>
      <c r="T10" s="14">
        <f t="shared" ref="T10:T34" si="6">SUM(U10:Z10)</f>
        <v>6373</v>
      </c>
      <c r="U10" s="652">
        <v>1132</v>
      </c>
      <c r="V10" s="652">
        <v>1085</v>
      </c>
      <c r="W10" s="652">
        <v>1082</v>
      </c>
      <c r="X10" s="652">
        <v>1039</v>
      </c>
      <c r="Y10" s="652">
        <v>1004</v>
      </c>
      <c r="Z10" s="652">
        <v>1031</v>
      </c>
      <c r="AA10" s="14">
        <f t="shared" ref="AA10:AA34" si="7">SUM(AB10:AG10)</f>
        <v>6619</v>
      </c>
      <c r="AB10" s="652">
        <v>1175</v>
      </c>
      <c r="AC10" s="652">
        <v>1168</v>
      </c>
      <c r="AD10" s="652">
        <v>1142</v>
      </c>
      <c r="AE10" s="652">
        <v>1091</v>
      </c>
      <c r="AF10" s="652">
        <v>1059</v>
      </c>
      <c r="AG10" s="652">
        <v>984</v>
      </c>
    </row>
    <row r="11" spans="2:33" x14ac:dyDescent="0.25">
      <c r="B11" s="175" t="s">
        <v>16</v>
      </c>
      <c r="C11" s="13">
        <v>421</v>
      </c>
      <c r="D11" s="14">
        <v>384</v>
      </c>
      <c r="E11" s="14">
        <v>101</v>
      </c>
      <c r="F11" s="328">
        <f t="shared" si="2"/>
        <v>55.289786223277908</v>
      </c>
      <c r="G11" s="13">
        <v>483</v>
      </c>
      <c r="H11" s="14">
        <v>433</v>
      </c>
      <c r="I11" s="14">
        <v>125</v>
      </c>
      <c r="J11" s="328">
        <f t="shared" ref="J11:J34" si="8">SUM(T11)/G11</f>
        <v>45.83229813664596</v>
      </c>
      <c r="K11" s="13">
        <f>SUM(G11)-C11</f>
        <v>62</v>
      </c>
      <c r="L11" s="14">
        <f>SUM(H11)-D11</f>
        <v>49</v>
      </c>
      <c r="M11" s="14">
        <f t="shared" ref="M11:M34" si="9">SUM(I11)-E11</f>
        <v>24</v>
      </c>
      <c r="N11" s="329">
        <f t="shared" ref="N11:N34" si="10">J11-F11</f>
        <v>-9.4574880866319475</v>
      </c>
      <c r="O11" s="181">
        <f>SUM(K11)/C11*100</f>
        <v>14.726840855106888</v>
      </c>
      <c r="P11" s="89">
        <f t="shared" si="4"/>
        <v>12.760416666666666</v>
      </c>
      <c r="Q11" s="89">
        <f t="shared" si="5"/>
        <v>23.762376237623762</v>
      </c>
      <c r="R11" s="31">
        <f t="shared" ref="R11:R34" si="11">N11/F11*100</f>
        <v>-17.105307747871503</v>
      </c>
      <c r="T11" s="14">
        <f t="shared" si="6"/>
        <v>22137</v>
      </c>
      <c r="U11" s="652">
        <v>3975</v>
      </c>
      <c r="V11" s="652">
        <v>3957</v>
      </c>
      <c r="W11" s="652">
        <v>3778</v>
      </c>
      <c r="X11" s="652">
        <v>3585</v>
      </c>
      <c r="Y11" s="652">
        <v>3437</v>
      </c>
      <c r="Z11" s="652">
        <v>3405</v>
      </c>
      <c r="AA11" s="14">
        <f t="shared" si="7"/>
        <v>23277</v>
      </c>
      <c r="AB11" s="652">
        <v>4136</v>
      </c>
      <c r="AC11" s="652">
        <v>4127</v>
      </c>
      <c r="AD11" s="652">
        <v>3977</v>
      </c>
      <c r="AE11" s="652">
        <v>3809</v>
      </c>
      <c r="AF11" s="652">
        <v>3667</v>
      </c>
      <c r="AG11" s="652">
        <v>3561</v>
      </c>
    </row>
    <row r="12" spans="2:33" x14ac:dyDescent="0.25">
      <c r="B12" s="175" t="s">
        <v>17</v>
      </c>
      <c r="C12" s="13">
        <v>1536</v>
      </c>
      <c r="D12" s="14">
        <v>348</v>
      </c>
      <c r="E12" s="14">
        <v>118</v>
      </c>
      <c r="F12" s="328">
        <f t="shared" si="2"/>
        <v>9.8001302083333339</v>
      </c>
      <c r="G12" s="13">
        <v>1519</v>
      </c>
      <c r="H12" s="14">
        <v>305</v>
      </c>
      <c r="I12" s="14">
        <v>114</v>
      </c>
      <c r="J12" s="637">
        <f>SUM(T12)/G12</f>
        <v>9.687294272547728</v>
      </c>
      <c r="K12" s="13">
        <f t="shared" ref="K12:K34" si="12">SUM(G12)-C12</f>
        <v>-17</v>
      </c>
      <c r="L12" s="14">
        <f t="shared" si="3"/>
        <v>-43</v>
      </c>
      <c r="M12" s="14">
        <f t="shared" si="9"/>
        <v>-4</v>
      </c>
      <c r="N12" s="329">
        <f t="shared" si="10"/>
        <v>-0.11283593578560591</v>
      </c>
      <c r="O12" s="181">
        <f t="shared" ref="O12:O34" si="13">SUM(K12)/C12*100</f>
        <v>-1.1067708333333335</v>
      </c>
      <c r="P12" s="89">
        <f t="shared" si="4"/>
        <v>-12.35632183908046</v>
      </c>
      <c r="Q12" s="89">
        <f t="shared" si="5"/>
        <v>-3.3898305084745761</v>
      </c>
      <c r="R12" s="31">
        <f t="shared" si="11"/>
        <v>-1.1513718020772647</v>
      </c>
      <c r="T12" s="14">
        <f t="shared" si="6"/>
        <v>14715</v>
      </c>
      <c r="U12" s="652">
        <v>2625</v>
      </c>
      <c r="V12" s="652">
        <v>2617</v>
      </c>
      <c r="W12" s="652">
        <v>2517</v>
      </c>
      <c r="X12" s="652">
        <v>2394</v>
      </c>
      <c r="Y12" s="652">
        <v>2302</v>
      </c>
      <c r="Z12" s="652">
        <v>2260</v>
      </c>
      <c r="AA12" s="14">
        <f t="shared" si="7"/>
        <v>15053</v>
      </c>
      <c r="AB12" s="652">
        <v>2606</v>
      </c>
      <c r="AC12" s="652">
        <v>2632</v>
      </c>
      <c r="AD12" s="652">
        <v>2536</v>
      </c>
      <c r="AE12" s="652">
        <v>2452</v>
      </c>
      <c r="AF12" s="652">
        <v>2434</v>
      </c>
      <c r="AG12" s="652">
        <v>2393</v>
      </c>
    </row>
    <row r="13" spans="2:33" x14ac:dyDescent="0.25">
      <c r="B13" s="175" t="s">
        <v>18</v>
      </c>
      <c r="C13" s="13">
        <v>1497</v>
      </c>
      <c r="D13" s="14">
        <v>732</v>
      </c>
      <c r="E13" s="14">
        <v>240</v>
      </c>
      <c r="F13" s="328">
        <f t="shared" si="2"/>
        <v>18.434201736806948</v>
      </c>
      <c r="G13" s="13">
        <v>1123</v>
      </c>
      <c r="H13" s="14">
        <v>566</v>
      </c>
      <c r="I13" s="14">
        <v>212</v>
      </c>
      <c r="J13" s="328">
        <f t="shared" si="8"/>
        <v>23.446126447016919</v>
      </c>
      <c r="K13" s="13">
        <f t="shared" si="12"/>
        <v>-374</v>
      </c>
      <c r="L13" s="14">
        <f t="shared" si="3"/>
        <v>-166</v>
      </c>
      <c r="M13" s="14">
        <f t="shared" si="9"/>
        <v>-28</v>
      </c>
      <c r="N13" s="329">
        <f t="shared" si="10"/>
        <v>5.0119247102099713</v>
      </c>
      <c r="O13" s="181">
        <f t="shared" si="13"/>
        <v>-24.983299933199731</v>
      </c>
      <c r="P13" s="89">
        <f t="shared" si="4"/>
        <v>-22.6775956284153</v>
      </c>
      <c r="Q13" s="89">
        <f t="shared" si="5"/>
        <v>-11.666666666666666</v>
      </c>
      <c r="R13" s="31">
        <f t="shared" si="11"/>
        <v>27.188184125178743</v>
      </c>
      <c r="T13" s="14">
        <f t="shared" si="6"/>
        <v>26330</v>
      </c>
      <c r="U13" s="652">
        <v>4604</v>
      </c>
      <c r="V13" s="652">
        <v>4569</v>
      </c>
      <c r="W13" s="652">
        <v>4469</v>
      </c>
      <c r="X13" s="652">
        <v>4276</v>
      </c>
      <c r="Y13" s="652">
        <v>4173</v>
      </c>
      <c r="Z13" s="652">
        <v>4239</v>
      </c>
      <c r="AA13" s="14">
        <f>SUM(AB13:AG13)</f>
        <v>27596</v>
      </c>
      <c r="AB13" s="652">
        <v>4850</v>
      </c>
      <c r="AC13" s="652">
        <v>4843</v>
      </c>
      <c r="AD13" s="652">
        <v>4626</v>
      </c>
      <c r="AE13" s="652">
        <v>4555</v>
      </c>
      <c r="AF13" s="652">
        <v>4474</v>
      </c>
      <c r="AG13" s="652">
        <v>4248</v>
      </c>
    </row>
    <row r="14" spans="2:33" x14ac:dyDescent="0.25">
      <c r="B14" s="175" t="s">
        <v>19</v>
      </c>
      <c r="C14" s="13">
        <v>1301</v>
      </c>
      <c r="D14" s="14">
        <v>605</v>
      </c>
      <c r="E14" s="14">
        <v>192</v>
      </c>
      <c r="F14" s="328">
        <f t="shared" si="2"/>
        <v>22.887778631821675</v>
      </c>
      <c r="G14" s="13">
        <v>1334</v>
      </c>
      <c r="H14" s="14">
        <v>609</v>
      </c>
      <c r="I14" s="14">
        <v>206</v>
      </c>
      <c r="J14" s="328">
        <f t="shared" si="8"/>
        <v>22.610194902548727</v>
      </c>
      <c r="K14" s="13">
        <f t="shared" si="12"/>
        <v>33</v>
      </c>
      <c r="L14" s="14">
        <f t="shared" si="3"/>
        <v>4</v>
      </c>
      <c r="M14" s="14">
        <f t="shared" si="9"/>
        <v>14</v>
      </c>
      <c r="N14" s="329">
        <f t="shared" si="10"/>
        <v>-0.27758372927294772</v>
      </c>
      <c r="O14" s="181">
        <f t="shared" si="13"/>
        <v>2.536510376633359</v>
      </c>
      <c r="P14" s="89">
        <f t="shared" si="4"/>
        <v>0.66115702479338845</v>
      </c>
      <c r="Q14" s="89">
        <f t="shared" si="5"/>
        <v>7.291666666666667</v>
      </c>
      <c r="R14" s="31">
        <f t="shared" si="11"/>
        <v>-1.2128032769725123</v>
      </c>
      <c r="T14" s="14">
        <f>SUM(U14:Z14)</f>
        <v>30162</v>
      </c>
      <c r="U14" s="652">
        <v>5393</v>
      </c>
      <c r="V14" s="652">
        <v>5253</v>
      </c>
      <c r="W14" s="652">
        <v>5146</v>
      </c>
      <c r="X14" s="652">
        <v>4902</v>
      </c>
      <c r="Y14" s="652">
        <v>4775</v>
      </c>
      <c r="Z14" s="652">
        <v>4693</v>
      </c>
      <c r="AA14" s="14">
        <f t="shared" si="7"/>
        <v>29777</v>
      </c>
      <c r="AB14" s="652">
        <v>5153</v>
      </c>
      <c r="AC14" s="652">
        <v>5156</v>
      </c>
      <c r="AD14" s="652">
        <v>5052</v>
      </c>
      <c r="AE14" s="652">
        <v>4936</v>
      </c>
      <c r="AF14" s="652">
        <v>4794</v>
      </c>
      <c r="AG14" s="652">
        <v>4686</v>
      </c>
    </row>
    <row r="15" spans="2:33" x14ac:dyDescent="0.25">
      <c r="B15" s="175" t="s">
        <v>20</v>
      </c>
      <c r="C15" s="13">
        <v>608</v>
      </c>
      <c r="D15" s="14">
        <v>274</v>
      </c>
      <c r="E15" s="14">
        <v>79</v>
      </c>
      <c r="F15" s="328">
        <f t="shared" si="2"/>
        <v>16.080592105263158</v>
      </c>
      <c r="G15" s="13">
        <v>527</v>
      </c>
      <c r="H15" s="14">
        <v>236</v>
      </c>
      <c r="I15" s="14">
        <v>75</v>
      </c>
      <c r="J15" s="328">
        <f t="shared" si="8"/>
        <v>17.612903225806452</v>
      </c>
      <c r="K15" s="13">
        <f t="shared" si="12"/>
        <v>-81</v>
      </c>
      <c r="L15" s="14">
        <f t="shared" si="3"/>
        <v>-38</v>
      </c>
      <c r="M15" s="14">
        <f t="shared" si="9"/>
        <v>-4</v>
      </c>
      <c r="N15" s="329">
        <f t="shared" si="10"/>
        <v>1.5323111205432944</v>
      </c>
      <c r="O15" s="181">
        <f t="shared" si="13"/>
        <v>-13.322368421052634</v>
      </c>
      <c r="P15" s="89">
        <f t="shared" si="4"/>
        <v>-13.868613138686131</v>
      </c>
      <c r="Q15" s="89">
        <f t="shared" si="5"/>
        <v>-5.0632911392405067</v>
      </c>
      <c r="R15" s="31">
        <f t="shared" si="11"/>
        <v>9.5289471339912346</v>
      </c>
      <c r="T15" s="14">
        <f t="shared" si="6"/>
        <v>9282</v>
      </c>
      <c r="U15" s="652">
        <v>1563</v>
      </c>
      <c r="V15" s="652">
        <v>1620</v>
      </c>
      <c r="W15" s="652">
        <v>1571</v>
      </c>
      <c r="X15" s="652">
        <v>1525</v>
      </c>
      <c r="Y15" s="652">
        <v>1494</v>
      </c>
      <c r="Z15" s="652">
        <v>1509</v>
      </c>
      <c r="AA15" s="14">
        <f t="shared" si="7"/>
        <v>9777</v>
      </c>
      <c r="AB15" s="652">
        <v>1678</v>
      </c>
      <c r="AC15" s="652">
        <v>1710</v>
      </c>
      <c r="AD15" s="652">
        <v>1672</v>
      </c>
      <c r="AE15" s="652">
        <v>1617</v>
      </c>
      <c r="AF15" s="652">
        <v>1581</v>
      </c>
      <c r="AG15" s="652">
        <v>1519</v>
      </c>
    </row>
    <row r="16" spans="2:33" x14ac:dyDescent="0.25">
      <c r="B16" s="175" t="s">
        <v>21</v>
      </c>
      <c r="C16" s="13">
        <v>455</v>
      </c>
      <c r="D16" s="14">
        <v>157</v>
      </c>
      <c r="E16" s="14">
        <v>73</v>
      </c>
      <c r="F16" s="328">
        <f t="shared" si="2"/>
        <v>28.652747252747254</v>
      </c>
      <c r="G16" s="13">
        <v>517</v>
      </c>
      <c r="H16" s="14">
        <v>197</v>
      </c>
      <c r="I16" s="14">
        <v>57</v>
      </c>
      <c r="J16" s="328">
        <f t="shared" si="8"/>
        <v>27.079303675048354</v>
      </c>
      <c r="K16" s="13">
        <f t="shared" si="12"/>
        <v>62</v>
      </c>
      <c r="L16" s="14">
        <f t="shared" si="3"/>
        <v>40</v>
      </c>
      <c r="M16" s="14">
        <f t="shared" si="9"/>
        <v>-16</v>
      </c>
      <c r="N16" s="329">
        <f t="shared" si="10"/>
        <v>-1.5734435776988995</v>
      </c>
      <c r="O16" s="181">
        <f t="shared" si="13"/>
        <v>13.626373626373626</v>
      </c>
      <c r="P16" s="89">
        <f t="shared" si="4"/>
        <v>25.477707006369428</v>
      </c>
      <c r="Q16" s="89">
        <f t="shared" si="5"/>
        <v>-21.917808219178081</v>
      </c>
      <c r="R16" s="31">
        <f t="shared" si="11"/>
        <v>-5.4914230870062068</v>
      </c>
      <c r="T16" s="14">
        <f t="shared" si="6"/>
        <v>14000</v>
      </c>
      <c r="U16" s="652">
        <v>2437</v>
      </c>
      <c r="V16" s="652">
        <v>2504</v>
      </c>
      <c r="W16" s="652">
        <v>2407</v>
      </c>
      <c r="X16" s="652">
        <v>2316</v>
      </c>
      <c r="Y16" s="652">
        <v>2200</v>
      </c>
      <c r="Z16" s="652">
        <v>2136</v>
      </c>
      <c r="AA16" s="14">
        <f t="shared" si="7"/>
        <v>13037</v>
      </c>
      <c r="AB16" s="652">
        <v>2175</v>
      </c>
      <c r="AC16" s="652">
        <v>2228</v>
      </c>
      <c r="AD16" s="652">
        <v>2239</v>
      </c>
      <c r="AE16" s="652">
        <v>2194</v>
      </c>
      <c r="AF16" s="652">
        <v>2125</v>
      </c>
      <c r="AG16" s="652">
        <v>2076</v>
      </c>
    </row>
    <row r="17" spans="2:33" x14ac:dyDescent="0.25">
      <c r="B17" s="175" t="s">
        <v>22</v>
      </c>
      <c r="C17" s="13">
        <v>324</v>
      </c>
      <c r="D17" s="14">
        <v>185</v>
      </c>
      <c r="E17" s="14">
        <v>69</v>
      </c>
      <c r="F17" s="328">
        <f t="shared" si="2"/>
        <v>32.089506172839506</v>
      </c>
      <c r="G17" s="13">
        <v>276</v>
      </c>
      <c r="H17" s="14">
        <v>150</v>
      </c>
      <c r="I17" s="14">
        <v>38</v>
      </c>
      <c r="J17" s="328">
        <f>SUM(T17)/G17</f>
        <v>36.637681159420289</v>
      </c>
      <c r="K17" s="13">
        <f t="shared" si="12"/>
        <v>-48</v>
      </c>
      <c r="L17" s="14">
        <f t="shared" si="3"/>
        <v>-35</v>
      </c>
      <c r="M17" s="14">
        <f t="shared" si="9"/>
        <v>-31</v>
      </c>
      <c r="N17" s="329">
        <f t="shared" si="10"/>
        <v>4.5481749865807828</v>
      </c>
      <c r="O17" s="181">
        <f t="shared" si="13"/>
        <v>-14.814814814814813</v>
      </c>
      <c r="P17" s="89">
        <f t="shared" si="4"/>
        <v>-18.918918918918919</v>
      </c>
      <c r="Q17" s="89">
        <f t="shared" si="5"/>
        <v>-44.927536231884055</v>
      </c>
      <c r="R17" s="31">
        <f t="shared" si="11"/>
        <v>14.173402862865958</v>
      </c>
      <c r="T17" s="14">
        <f t="shared" si="6"/>
        <v>10112</v>
      </c>
      <c r="U17" s="652">
        <v>1788</v>
      </c>
      <c r="V17" s="652">
        <v>1788</v>
      </c>
      <c r="W17" s="652">
        <v>1733</v>
      </c>
      <c r="X17" s="652">
        <v>1676</v>
      </c>
      <c r="Y17" s="652">
        <v>1596</v>
      </c>
      <c r="Z17" s="652">
        <v>1531</v>
      </c>
      <c r="AA17" s="14">
        <f t="shared" si="7"/>
        <v>10397</v>
      </c>
      <c r="AB17" s="652">
        <v>1805</v>
      </c>
      <c r="AC17" s="652">
        <v>1813</v>
      </c>
      <c r="AD17" s="652">
        <v>1804</v>
      </c>
      <c r="AE17" s="652">
        <v>1756</v>
      </c>
      <c r="AF17" s="652">
        <v>1648</v>
      </c>
      <c r="AG17" s="652">
        <v>1571</v>
      </c>
    </row>
    <row r="18" spans="2:33" x14ac:dyDescent="0.25">
      <c r="B18" s="175" t="s">
        <v>23</v>
      </c>
      <c r="C18" s="13">
        <v>846</v>
      </c>
      <c r="D18" s="14">
        <v>547</v>
      </c>
      <c r="E18" s="14">
        <v>185</v>
      </c>
      <c r="F18" s="328">
        <f t="shared" si="2"/>
        <v>22.356973995271868</v>
      </c>
      <c r="G18" s="13">
        <v>735</v>
      </c>
      <c r="H18" s="14">
        <v>475</v>
      </c>
      <c r="I18" s="14">
        <v>148</v>
      </c>
      <c r="J18" s="328">
        <f t="shared" si="8"/>
        <v>25.131972789115647</v>
      </c>
      <c r="K18" s="13">
        <f t="shared" si="12"/>
        <v>-111</v>
      </c>
      <c r="L18" s="14">
        <f t="shared" si="3"/>
        <v>-72</v>
      </c>
      <c r="M18" s="14">
        <f t="shared" si="9"/>
        <v>-37</v>
      </c>
      <c r="N18" s="329">
        <f t="shared" si="10"/>
        <v>2.7749987938437783</v>
      </c>
      <c r="O18" s="181">
        <f t="shared" si="13"/>
        <v>-13.120567375886525</v>
      </c>
      <c r="P18" s="89">
        <f t="shared" si="4"/>
        <v>-13.16270566727605</v>
      </c>
      <c r="Q18" s="89">
        <f t="shared" si="5"/>
        <v>-20</v>
      </c>
      <c r="R18" s="31">
        <f t="shared" si="11"/>
        <v>12.41222892879262</v>
      </c>
      <c r="T18" s="14">
        <f t="shared" si="6"/>
        <v>18472</v>
      </c>
      <c r="U18" s="652">
        <v>3262</v>
      </c>
      <c r="V18" s="652">
        <v>3279</v>
      </c>
      <c r="W18" s="652">
        <v>3128</v>
      </c>
      <c r="X18" s="652">
        <v>3042</v>
      </c>
      <c r="Y18" s="652">
        <v>2952</v>
      </c>
      <c r="Z18" s="652">
        <v>2809</v>
      </c>
      <c r="AA18" s="14">
        <f t="shared" si="7"/>
        <v>18914</v>
      </c>
      <c r="AB18" s="652">
        <v>3295</v>
      </c>
      <c r="AC18" s="652">
        <v>3283</v>
      </c>
      <c r="AD18" s="652">
        <v>3199</v>
      </c>
      <c r="AE18" s="652">
        <v>3181</v>
      </c>
      <c r="AF18" s="652">
        <v>3058</v>
      </c>
      <c r="AG18" s="652">
        <v>2898</v>
      </c>
    </row>
    <row r="19" spans="2:33" x14ac:dyDescent="0.25">
      <c r="B19" s="175" t="s">
        <v>24</v>
      </c>
      <c r="C19" s="13">
        <v>541</v>
      </c>
      <c r="D19" s="14">
        <v>396</v>
      </c>
      <c r="E19" s="14">
        <v>180</v>
      </c>
      <c r="F19" s="328">
        <f t="shared" si="2"/>
        <v>19.996303142329019</v>
      </c>
      <c r="G19" s="13">
        <v>531</v>
      </c>
      <c r="H19" s="14">
        <v>352</v>
      </c>
      <c r="I19" s="14">
        <v>142</v>
      </c>
      <c r="J19" s="328">
        <f t="shared" si="8"/>
        <v>19.734463276836159</v>
      </c>
      <c r="K19" s="13">
        <f t="shared" si="12"/>
        <v>-10</v>
      </c>
      <c r="L19" s="14">
        <f t="shared" si="3"/>
        <v>-44</v>
      </c>
      <c r="M19" s="14">
        <f t="shared" si="9"/>
        <v>-38</v>
      </c>
      <c r="N19" s="329">
        <f t="shared" si="10"/>
        <v>-0.26183986549285976</v>
      </c>
      <c r="O19" s="181">
        <f t="shared" si="13"/>
        <v>-1.8484288354898337</v>
      </c>
      <c r="P19" s="89">
        <f t="shared" si="4"/>
        <v>-11.111111111111111</v>
      </c>
      <c r="Q19" s="89">
        <f t="shared" si="5"/>
        <v>-21.111111111111111</v>
      </c>
      <c r="R19" s="31">
        <f t="shared" si="11"/>
        <v>-1.3094413683826691</v>
      </c>
      <c r="T19" s="14">
        <f t="shared" si="6"/>
        <v>10479</v>
      </c>
      <c r="U19" s="652">
        <v>1943</v>
      </c>
      <c r="V19" s="652">
        <v>1903</v>
      </c>
      <c r="W19" s="652">
        <v>1769</v>
      </c>
      <c r="X19" s="652">
        <v>1656</v>
      </c>
      <c r="Y19" s="652">
        <v>1622</v>
      </c>
      <c r="Z19" s="652">
        <v>1586</v>
      </c>
      <c r="AA19" s="14">
        <f t="shared" si="7"/>
        <v>10818</v>
      </c>
      <c r="AB19" s="652">
        <v>1987</v>
      </c>
      <c r="AC19" s="652">
        <v>1954</v>
      </c>
      <c r="AD19" s="652">
        <v>1882</v>
      </c>
      <c r="AE19" s="652">
        <v>1771</v>
      </c>
      <c r="AF19" s="652">
        <v>1651</v>
      </c>
      <c r="AG19" s="652">
        <v>1573</v>
      </c>
    </row>
    <row r="20" spans="2:33" x14ac:dyDescent="0.25">
      <c r="B20" s="175" t="s">
        <v>25</v>
      </c>
      <c r="C20" s="13">
        <v>643</v>
      </c>
      <c r="D20" s="14">
        <v>427</v>
      </c>
      <c r="E20" s="14">
        <v>186</v>
      </c>
      <c r="F20" s="328">
        <f t="shared" si="2"/>
        <v>24.732503888024883</v>
      </c>
      <c r="G20" s="13">
        <v>634</v>
      </c>
      <c r="H20" s="14">
        <v>433</v>
      </c>
      <c r="I20" s="14">
        <v>201</v>
      </c>
      <c r="J20" s="328">
        <f t="shared" si="8"/>
        <v>24.138801261829652</v>
      </c>
      <c r="K20" s="13">
        <f t="shared" si="12"/>
        <v>-9</v>
      </c>
      <c r="L20" s="14">
        <f t="shared" si="3"/>
        <v>6</v>
      </c>
      <c r="M20" s="14">
        <f t="shared" si="9"/>
        <v>15</v>
      </c>
      <c r="N20" s="329">
        <f t="shared" si="10"/>
        <v>-0.59370262619523118</v>
      </c>
      <c r="O20" s="181">
        <f t="shared" si="13"/>
        <v>-1.3996889580093312</v>
      </c>
      <c r="P20" s="89">
        <f t="shared" si="4"/>
        <v>1.405152224824356</v>
      </c>
      <c r="Q20" s="89">
        <f t="shared" si="5"/>
        <v>8.064516129032258</v>
      </c>
      <c r="R20" s="31">
        <f t="shared" si="11"/>
        <v>-2.4004954325821144</v>
      </c>
      <c r="T20" s="14">
        <f t="shared" si="6"/>
        <v>15304</v>
      </c>
      <c r="U20" s="652">
        <v>2710</v>
      </c>
      <c r="V20" s="652">
        <v>2679</v>
      </c>
      <c r="W20" s="652">
        <v>2611</v>
      </c>
      <c r="X20" s="652">
        <v>2501</v>
      </c>
      <c r="Y20" s="652">
        <v>2402</v>
      </c>
      <c r="Z20" s="652">
        <v>2401</v>
      </c>
      <c r="AA20" s="14">
        <f t="shared" si="7"/>
        <v>15903</v>
      </c>
      <c r="AB20" s="652">
        <v>2809</v>
      </c>
      <c r="AC20" s="652">
        <v>2797</v>
      </c>
      <c r="AD20" s="652">
        <v>2671</v>
      </c>
      <c r="AE20" s="652">
        <v>2601</v>
      </c>
      <c r="AF20" s="652">
        <v>2549</v>
      </c>
      <c r="AG20" s="652">
        <v>2476</v>
      </c>
    </row>
    <row r="21" spans="2:33" x14ac:dyDescent="0.25">
      <c r="B21" s="175" t="s">
        <v>26</v>
      </c>
      <c r="C21" s="13">
        <v>1749</v>
      </c>
      <c r="D21" s="14">
        <v>595</v>
      </c>
      <c r="E21" s="14">
        <v>142</v>
      </c>
      <c r="F21" s="328">
        <f t="shared" si="2"/>
        <v>9.4236706689536884</v>
      </c>
      <c r="G21" s="13">
        <v>1816</v>
      </c>
      <c r="H21" s="14">
        <v>478</v>
      </c>
      <c r="I21" s="14">
        <v>145</v>
      </c>
      <c r="J21" s="637">
        <f t="shared" si="8"/>
        <v>9.661343612334802</v>
      </c>
      <c r="K21" s="13">
        <f t="shared" si="12"/>
        <v>67</v>
      </c>
      <c r="L21" s="14">
        <f t="shared" si="3"/>
        <v>-117</v>
      </c>
      <c r="M21" s="14">
        <f t="shared" si="9"/>
        <v>3</v>
      </c>
      <c r="N21" s="329">
        <f t="shared" si="10"/>
        <v>0.23767294338111356</v>
      </c>
      <c r="O21" s="181">
        <f t="shared" si="13"/>
        <v>3.8307604345340196</v>
      </c>
      <c r="P21" s="89">
        <f t="shared" si="4"/>
        <v>-19.663865546218489</v>
      </c>
      <c r="Q21" s="89">
        <f t="shared" si="5"/>
        <v>2.112676056338028</v>
      </c>
      <c r="R21" s="31">
        <f t="shared" si="11"/>
        <v>2.5220845648196066</v>
      </c>
      <c r="T21" s="14">
        <f t="shared" si="6"/>
        <v>17545</v>
      </c>
      <c r="U21" s="652">
        <v>2994</v>
      </c>
      <c r="V21" s="652">
        <v>3037</v>
      </c>
      <c r="W21" s="652">
        <v>2948</v>
      </c>
      <c r="X21" s="652">
        <v>2872</v>
      </c>
      <c r="Y21" s="652">
        <v>2822</v>
      </c>
      <c r="Z21" s="652">
        <v>2872</v>
      </c>
      <c r="AA21" s="14">
        <f t="shared" si="7"/>
        <v>16482</v>
      </c>
      <c r="AB21" s="652">
        <v>2696</v>
      </c>
      <c r="AC21" s="652">
        <v>2769</v>
      </c>
      <c r="AD21" s="652">
        <v>2700</v>
      </c>
      <c r="AE21" s="652">
        <v>2740</v>
      </c>
      <c r="AF21" s="652">
        <v>2793</v>
      </c>
      <c r="AG21" s="652">
        <v>2784</v>
      </c>
    </row>
    <row r="22" spans="2:33" x14ac:dyDescent="0.25">
      <c r="B22" s="175" t="s">
        <v>27</v>
      </c>
      <c r="C22" s="13">
        <v>707</v>
      </c>
      <c r="D22" s="14">
        <v>540</v>
      </c>
      <c r="E22" s="14">
        <v>211</v>
      </c>
      <c r="F22" s="328">
        <f t="shared" si="2"/>
        <v>26.780763790664782</v>
      </c>
      <c r="G22" s="13">
        <v>544</v>
      </c>
      <c r="H22" s="14">
        <v>403</v>
      </c>
      <c r="I22" s="14">
        <v>158</v>
      </c>
      <c r="J22" s="328">
        <f t="shared" si="8"/>
        <v>32.977941176470587</v>
      </c>
      <c r="K22" s="13">
        <f t="shared" si="12"/>
        <v>-163</v>
      </c>
      <c r="L22" s="14">
        <f t="shared" si="3"/>
        <v>-137</v>
      </c>
      <c r="M22" s="14">
        <f t="shared" si="9"/>
        <v>-53</v>
      </c>
      <c r="N22" s="329">
        <f t="shared" si="10"/>
        <v>6.197177385805805</v>
      </c>
      <c r="O22" s="181">
        <f t="shared" si="13"/>
        <v>-23.055162659123056</v>
      </c>
      <c r="P22" s="89">
        <f t="shared" si="4"/>
        <v>-25.37037037037037</v>
      </c>
      <c r="Q22" s="89">
        <f t="shared" si="5"/>
        <v>-25.118483412322274</v>
      </c>
      <c r="R22" s="31">
        <f t="shared" si="11"/>
        <v>23.140405681655775</v>
      </c>
      <c r="T22" s="14">
        <f t="shared" si="6"/>
        <v>17940</v>
      </c>
      <c r="U22" s="652">
        <v>3233</v>
      </c>
      <c r="V22" s="652">
        <v>3129</v>
      </c>
      <c r="W22" s="652">
        <v>2984</v>
      </c>
      <c r="X22" s="652">
        <v>2937</v>
      </c>
      <c r="Y22" s="652">
        <v>2863</v>
      </c>
      <c r="Z22" s="652">
        <v>2794</v>
      </c>
      <c r="AA22" s="14">
        <f t="shared" si="7"/>
        <v>18934</v>
      </c>
      <c r="AB22" s="652">
        <v>3307</v>
      </c>
      <c r="AC22" s="652">
        <v>3248</v>
      </c>
      <c r="AD22" s="652">
        <v>3156</v>
      </c>
      <c r="AE22" s="652">
        <v>3105</v>
      </c>
      <c r="AF22" s="652">
        <v>3109</v>
      </c>
      <c r="AG22" s="652">
        <v>3009</v>
      </c>
    </row>
    <row r="23" spans="2:33" x14ac:dyDescent="0.25">
      <c r="B23" s="176" t="s">
        <v>28</v>
      </c>
      <c r="C23" s="106">
        <v>280</v>
      </c>
      <c r="D23" s="107">
        <v>240</v>
      </c>
      <c r="E23" s="14">
        <v>145</v>
      </c>
      <c r="F23" s="345">
        <f t="shared" si="2"/>
        <v>64.442857142857136</v>
      </c>
      <c r="G23" s="106">
        <v>325</v>
      </c>
      <c r="H23" s="107">
        <v>249</v>
      </c>
      <c r="I23" s="14">
        <v>146</v>
      </c>
      <c r="J23" s="345">
        <f t="shared" si="8"/>
        <v>53.701538461538462</v>
      </c>
      <c r="K23" s="106">
        <f t="shared" si="12"/>
        <v>45</v>
      </c>
      <c r="L23" s="107">
        <f t="shared" si="3"/>
        <v>9</v>
      </c>
      <c r="M23" s="14">
        <f t="shared" si="9"/>
        <v>1</v>
      </c>
      <c r="N23" s="329">
        <f t="shared" si="10"/>
        <v>-10.741318681318674</v>
      </c>
      <c r="O23" s="182">
        <f t="shared" si="13"/>
        <v>16.071428571428573</v>
      </c>
      <c r="P23" s="183">
        <f>SUM(L23)/D23*100</f>
        <v>3.75</v>
      </c>
      <c r="Q23" s="89">
        <f>SUM(M23)/E23*100</f>
        <v>0.68965517241379315</v>
      </c>
      <c r="R23" s="31">
        <f t="shared" si="11"/>
        <v>-16.667974012243565</v>
      </c>
      <c r="T23" s="107">
        <f t="shared" si="6"/>
        <v>17453</v>
      </c>
      <c r="U23" s="652">
        <v>3144</v>
      </c>
      <c r="V23" s="652">
        <v>3107</v>
      </c>
      <c r="W23" s="652">
        <v>2935</v>
      </c>
      <c r="X23" s="652">
        <v>2792</v>
      </c>
      <c r="Y23" s="652">
        <v>2764</v>
      </c>
      <c r="Z23" s="652">
        <v>2711</v>
      </c>
      <c r="AA23" s="107">
        <f t="shared" si="7"/>
        <v>18044</v>
      </c>
      <c r="AB23" s="652">
        <v>3218</v>
      </c>
      <c r="AC23" s="652">
        <v>3149</v>
      </c>
      <c r="AD23" s="652">
        <v>3053</v>
      </c>
      <c r="AE23" s="652">
        <v>2947</v>
      </c>
      <c r="AF23" s="652">
        <v>2883</v>
      </c>
      <c r="AG23" s="652">
        <v>2794</v>
      </c>
    </row>
    <row r="24" spans="2:33" x14ac:dyDescent="0.25">
      <c r="B24" s="176" t="s">
        <v>29</v>
      </c>
      <c r="C24" s="106">
        <v>1754</v>
      </c>
      <c r="D24" s="107">
        <v>832</v>
      </c>
      <c r="E24" s="14">
        <v>422</v>
      </c>
      <c r="F24" s="345">
        <f t="shared" si="2"/>
        <v>11.857468643101482</v>
      </c>
      <c r="G24" s="106">
        <v>1401</v>
      </c>
      <c r="H24" s="107">
        <v>622</v>
      </c>
      <c r="I24" s="14">
        <v>304</v>
      </c>
      <c r="J24" s="345">
        <f t="shared" si="8"/>
        <v>13.931477516059957</v>
      </c>
      <c r="K24" s="106">
        <f t="shared" si="12"/>
        <v>-353</v>
      </c>
      <c r="L24" s="107">
        <f t="shared" si="3"/>
        <v>-210</v>
      </c>
      <c r="M24" s="14">
        <f t="shared" si="9"/>
        <v>-118</v>
      </c>
      <c r="N24" s="329">
        <f t="shared" si="10"/>
        <v>2.0740088729584745</v>
      </c>
      <c r="O24" s="182">
        <f t="shared" si="13"/>
        <v>-20.125427594070697</v>
      </c>
      <c r="P24" s="183">
        <f t="shared" si="4"/>
        <v>-25.240384615384613</v>
      </c>
      <c r="Q24" s="89">
        <f t="shared" si="5"/>
        <v>-27.962085308056871</v>
      </c>
      <c r="R24" s="31">
        <f t="shared" si="11"/>
        <v>17.491160511439389</v>
      </c>
      <c r="T24" s="107">
        <f t="shared" si="6"/>
        <v>19518</v>
      </c>
      <c r="U24" s="652">
        <v>3467</v>
      </c>
      <c r="V24" s="652">
        <v>3401</v>
      </c>
      <c r="W24" s="652">
        <v>3199</v>
      </c>
      <c r="X24" s="652">
        <v>3160</v>
      </c>
      <c r="Y24" s="652">
        <v>3130</v>
      </c>
      <c r="Z24" s="652">
        <v>3161</v>
      </c>
      <c r="AA24" s="107">
        <f t="shared" si="7"/>
        <v>20798</v>
      </c>
      <c r="AB24" s="652">
        <v>3707</v>
      </c>
      <c r="AC24" s="652">
        <v>3596</v>
      </c>
      <c r="AD24" s="652">
        <v>3593</v>
      </c>
      <c r="AE24" s="652">
        <v>3492</v>
      </c>
      <c r="AF24" s="652">
        <v>3261</v>
      </c>
      <c r="AG24" s="652">
        <v>3149</v>
      </c>
    </row>
    <row r="25" spans="2:33" x14ac:dyDescent="0.25">
      <c r="B25" s="176" t="s">
        <v>30</v>
      </c>
      <c r="C25" s="106">
        <v>762</v>
      </c>
      <c r="D25" s="107">
        <v>415</v>
      </c>
      <c r="E25" s="14">
        <v>189</v>
      </c>
      <c r="F25" s="345">
        <f t="shared" si="2"/>
        <v>21.397637795275589</v>
      </c>
      <c r="G25" s="106">
        <v>607</v>
      </c>
      <c r="H25" s="107">
        <v>371</v>
      </c>
      <c r="I25" s="14">
        <v>147</v>
      </c>
      <c r="J25" s="345">
        <f t="shared" si="8"/>
        <v>26.110378912685338</v>
      </c>
      <c r="K25" s="106">
        <f t="shared" si="12"/>
        <v>-155</v>
      </c>
      <c r="L25" s="107">
        <f t="shared" si="3"/>
        <v>-44</v>
      </c>
      <c r="M25" s="14">
        <f t="shared" si="9"/>
        <v>-42</v>
      </c>
      <c r="N25" s="329">
        <f t="shared" si="10"/>
        <v>4.7127411174097489</v>
      </c>
      <c r="O25" s="182">
        <f t="shared" si="13"/>
        <v>-20.341207349081365</v>
      </c>
      <c r="P25" s="183">
        <f t="shared" si="4"/>
        <v>-10.602409638554217</v>
      </c>
      <c r="Q25" s="89">
        <f t="shared" si="5"/>
        <v>-22.222222222222221</v>
      </c>
      <c r="R25" s="31">
        <f t="shared" si="11"/>
        <v>22.024585902890088</v>
      </c>
      <c r="T25" s="107">
        <f t="shared" si="6"/>
        <v>15849</v>
      </c>
      <c r="U25" s="652">
        <v>2707</v>
      </c>
      <c r="V25" s="652">
        <v>2677</v>
      </c>
      <c r="W25" s="652">
        <v>2609</v>
      </c>
      <c r="X25" s="652">
        <v>2695</v>
      </c>
      <c r="Y25" s="652">
        <v>2605</v>
      </c>
      <c r="Z25" s="652">
        <v>2556</v>
      </c>
      <c r="AA25" s="107">
        <f t="shared" si="7"/>
        <v>16305</v>
      </c>
      <c r="AB25" s="652">
        <v>2858</v>
      </c>
      <c r="AC25" s="652">
        <v>2836</v>
      </c>
      <c r="AD25" s="652">
        <v>2763</v>
      </c>
      <c r="AE25" s="652">
        <v>2652</v>
      </c>
      <c r="AF25" s="652">
        <v>2637</v>
      </c>
      <c r="AG25" s="652">
        <v>2559</v>
      </c>
    </row>
    <row r="26" spans="2:33" x14ac:dyDescent="0.25">
      <c r="B26" s="176" t="s">
        <v>31</v>
      </c>
      <c r="C26" s="106">
        <v>1042</v>
      </c>
      <c r="D26" s="107">
        <v>290</v>
      </c>
      <c r="E26" s="14">
        <v>141</v>
      </c>
      <c r="F26" s="345">
        <f t="shared" si="2"/>
        <v>28.047024952015356</v>
      </c>
      <c r="G26" s="106">
        <v>981</v>
      </c>
      <c r="H26" s="107">
        <v>321</v>
      </c>
      <c r="I26" s="14">
        <v>102</v>
      </c>
      <c r="J26" s="345">
        <f t="shared" si="8"/>
        <v>28.311926605504588</v>
      </c>
      <c r="K26" s="106">
        <f t="shared" si="12"/>
        <v>-61</v>
      </c>
      <c r="L26" s="107">
        <f t="shared" si="3"/>
        <v>31</v>
      </c>
      <c r="M26" s="14">
        <f t="shared" si="9"/>
        <v>-39</v>
      </c>
      <c r="N26" s="329">
        <f t="shared" si="10"/>
        <v>0.26490165348923256</v>
      </c>
      <c r="O26" s="182">
        <f t="shared" si="13"/>
        <v>-5.8541266794625724</v>
      </c>
      <c r="P26" s="183">
        <f t="shared" si="4"/>
        <v>10.689655172413794</v>
      </c>
      <c r="Q26" s="89">
        <f t="shared" si="5"/>
        <v>-27.659574468085108</v>
      </c>
      <c r="R26" s="31">
        <f t="shared" si="11"/>
        <v>0.94449109644407292</v>
      </c>
      <c r="T26" s="107">
        <f t="shared" si="6"/>
        <v>27774</v>
      </c>
      <c r="U26" s="652">
        <v>4760</v>
      </c>
      <c r="V26" s="652">
        <v>4809</v>
      </c>
      <c r="W26" s="652">
        <v>4709</v>
      </c>
      <c r="X26" s="652">
        <v>4604</v>
      </c>
      <c r="Y26" s="652">
        <v>4469</v>
      </c>
      <c r="Z26" s="652">
        <v>4423</v>
      </c>
      <c r="AA26" s="107">
        <f t="shared" si="7"/>
        <v>29225</v>
      </c>
      <c r="AB26" s="652">
        <v>5063</v>
      </c>
      <c r="AC26" s="652">
        <v>5092</v>
      </c>
      <c r="AD26" s="652">
        <v>4917</v>
      </c>
      <c r="AE26" s="652">
        <v>4842</v>
      </c>
      <c r="AF26" s="652">
        <v>4716</v>
      </c>
      <c r="AG26" s="652">
        <v>4595</v>
      </c>
    </row>
    <row r="27" spans="2:33" x14ac:dyDescent="0.25">
      <c r="B27" s="176" t="s">
        <v>32</v>
      </c>
      <c r="C27" s="106">
        <v>716</v>
      </c>
      <c r="D27" s="107">
        <v>283</v>
      </c>
      <c r="E27" s="14">
        <v>95</v>
      </c>
      <c r="F27" s="345">
        <f t="shared" si="2"/>
        <v>23.074022346368714</v>
      </c>
      <c r="G27" s="106">
        <v>476</v>
      </c>
      <c r="H27" s="107">
        <v>228</v>
      </c>
      <c r="I27" s="14">
        <v>61</v>
      </c>
      <c r="J27" s="345">
        <f t="shared" si="8"/>
        <v>35.163865546218489</v>
      </c>
      <c r="K27" s="106">
        <f t="shared" si="12"/>
        <v>-240</v>
      </c>
      <c r="L27" s="107">
        <f t="shared" si="3"/>
        <v>-55</v>
      </c>
      <c r="M27" s="14">
        <f t="shared" si="9"/>
        <v>-34</v>
      </c>
      <c r="N27" s="329">
        <f t="shared" si="10"/>
        <v>12.089843199849774</v>
      </c>
      <c r="O27" s="182">
        <f>SUM(K27)/C27*100</f>
        <v>-33.519553072625698</v>
      </c>
      <c r="P27" s="183">
        <f t="shared" si="4"/>
        <v>-19.434628975265017</v>
      </c>
      <c r="Q27" s="89">
        <f t="shared" si="5"/>
        <v>-35.789473684210527</v>
      </c>
      <c r="R27" s="31">
        <f t="shared" si="11"/>
        <v>52.3959066103289</v>
      </c>
      <c r="T27" s="107">
        <f t="shared" si="6"/>
        <v>16738</v>
      </c>
      <c r="U27" s="652">
        <v>2879</v>
      </c>
      <c r="V27" s="652">
        <v>2908</v>
      </c>
      <c r="W27" s="652">
        <v>2883</v>
      </c>
      <c r="X27" s="652">
        <v>2728</v>
      </c>
      <c r="Y27" s="652">
        <v>2681</v>
      </c>
      <c r="Z27" s="652">
        <v>2659</v>
      </c>
      <c r="AA27" s="107">
        <f t="shared" si="7"/>
        <v>16521</v>
      </c>
      <c r="AB27" s="652">
        <v>2809</v>
      </c>
      <c r="AC27" s="652">
        <v>2840</v>
      </c>
      <c r="AD27" s="652">
        <v>2802</v>
      </c>
      <c r="AE27" s="652">
        <v>2757</v>
      </c>
      <c r="AF27" s="652">
        <v>2669</v>
      </c>
      <c r="AG27" s="652">
        <v>2644</v>
      </c>
    </row>
    <row r="28" spans="2:33" x14ac:dyDescent="0.25">
      <c r="B28" s="176" t="s">
        <v>33</v>
      </c>
      <c r="C28" s="106">
        <v>924</v>
      </c>
      <c r="D28" s="107">
        <v>317</v>
      </c>
      <c r="E28" s="14">
        <v>134</v>
      </c>
      <c r="F28" s="345">
        <f t="shared" si="2"/>
        <v>12.827922077922079</v>
      </c>
      <c r="G28" s="106">
        <v>729</v>
      </c>
      <c r="H28" s="107">
        <v>354</v>
      </c>
      <c r="I28" s="14">
        <v>138</v>
      </c>
      <c r="J28" s="345">
        <f t="shared" si="8"/>
        <v>16.270233196159122</v>
      </c>
      <c r="K28" s="106">
        <f t="shared" si="12"/>
        <v>-195</v>
      </c>
      <c r="L28" s="107">
        <f t="shared" si="3"/>
        <v>37</v>
      </c>
      <c r="M28" s="14">
        <f t="shared" si="9"/>
        <v>4</v>
      </c>
      <c r="N28" s="329">
        <f t="shared" si="10"/>
        <v>3.4423111182370434</v>
      </c>
      <c r="O28" s="182">
        <f t="shared" si="13"/>
        <v>-21.103896103896101</v>
      </c>
      <c r="P28" s="183">
        <f t="shared" si="4"/>
        <v>11.67192429022082</v>
      </c>
      <c r="Q28" s="89">
        <f t="shared" si="5"/>
        <v>2.9850746268656714</v>
      </c>
      <c r="R28" s="31">
        <f t="shared" si="11"/>
        <v>26.834518461579581</v>
      </c>
      <c r="T28" s="107">
        <f t="shared" si="6"/>
        <v>11861</v>
      </c>
      <c r="U28" s="652">
        <v>2063</v>
      </c>
      <c r="V28" s="652">
        <v>2079</v>
      </c>
      <c r="W28" s="652">
        <v>2023</v>
      </c>
      <c r="X28" s="652">
        <v>1959</v>
      </c>
      <c r="Y28" s="652">
        <v>1877</v>
      </c>
      <c r="Z28" s="652">
        <v>1860</v>
      </c>
      <c r="AA28" s="107">
        <f t="shared" si="7"/>
        <v>11853</v>
      </c>
      <c r="AB28" s="652">
        <v>2039</v>
      </c>
      <c r="AC28" s="652">
        <v>2013</v>
      </c>
      <c r="AD28" s="652">
        <v>2007</v>
      </c>
      <c r="AE28" s="652">
        <v>1971</v>
      </c>
      <c r="AF28" s="652">
        <v>1970</v>
      </c>
      <c r="AG28" s="652">
        <v>1853</v>
      </c>
    </row>
    <row r="29" spans="2:33" x14ac:dyDescent="0.25">
      <c r="B29" s="176" t="s">
        <v>34</v>
      </c>
      <c r="C29" s="106">
        <v>962</v>
      </c>
      <c r="D29" s="107">
        <v>579</v>
      </c>
      <c r="E29" s="14">
        <v>205</v>
      </c>
      <c r="F29" s="345">
        <f t="shared" si="2"/>
        <v>20.391891891891891</v>
      </c>
      <c r="G29" s="106">
        <v>690</v>
      </c>
      <c r="H29" s="107">
        <v>423</v>
      </c>
      <c r="I29" s="14">
        <v>190</v>
      </c>
      <c r="J29" s="345">
        <f t="shared" si="8"/>
        <v>27.237681159420291</v>
      </c>
      <c r="K29" s="106">
        <f t="shared" si="12"/>
        <v>-272</v>
      </c>
      <c r="L29" s="107">
        <f t="shared" si="3"/>
        <v>-156</v>
      </c>
      <c r="M29" s="14">
        <f t="shared" si="9"/>
        <v>-15</v>
      </c>
      <c r="N29" s="329">
        <f t="shared" si="10"/>
        <v>6.8457892675283993</v>
      </c>
      <c r="O29" s="182">
        <f t="shared" si="13"/>
        <v>-28.274428274428274</v>
      </c>
      <c r="P29" s="183">
        <f t="shared" si="4"/>
        <v>-26.94300518134715</v>
      </c>
      <c r="Q29" s="89">
        <f t="shared" si="5"/>
        <v>-7.3170731707317067</v>
      </c>
      <c r="R29" s="31">
        <f t="shared" si="11"/>
        <v>33.571133584963661</v>
      </c>
      <c r="T29" s="107">
        <f t="shared" si="6"/>
        <v>18794</v>
      </c>
      <c r="U29" s="652">
        <v>3295</v>
      </c>
      <c r="V29" s="652">
        <v>3236</v>
      </c>
      <c r="W29" s="652">
        <v>3133</v>
      </c>
      <c r="X29" s="652">
        <v>3059</v>
      </c>
      <c r="Y29" s="652">
        <v>3063</v>
      </c>
      <c r="Z29" s="652">
        <v>3008</v>
      </c>
      <c r="AA29" s="107">
        <f t="shared" si="7"/>
        <v>19617</v>
      </c>
      <c r="AB29" s="652">
        <v>3465</v>
      </c>
      <c r="AC29" s="652">
        <v>3417</v>
      </c>
      <c r="AD29" s="652">
        <v>3311</v>
      </c>
      <c r="AE29" s="652">
        <v>3195</v>
      </c>
      <c r="AF29" s="652">
        <v>3209</v>
      </c>
      <c r="AG29" s="652">
        <v>3020</v>
      </c>
    </row>
    <row r="30" spans="2:33" x14ac:dyDescent="0.25">
      <c r="B30" s="176" t="s">
        <v>35</v>
      </c>
      <c r="C30" s="106">
        <v>680</v>
      </c>
      <c r="D30" s="107">
        <v>295</v>
      </c>
      <c r="E30" s="14">
        <v>165</v>
      </c>
      <c r="F30" s="345">
        <f t="shared" si="2"/>
        <v>11.476470588235294</v>
      </c>
      <c r="G30" s="106">
        <v>506</v>
      </c>
      <c r="H30" s="107">
        <v>223</v>
      </c>
      <c r="I30" s="14">
        <v>131</v>
      </c>
      <c r="J30" s="968">
        <f t="shared" si="8"/>
        <v>15.061264822134387</v>
      </c>
      <c r="K30" s="106">
        <f t="shared" si="12"/>
        <v>-174</v>
      </c>
      <c r="L30" s="107">
        <f t="shared" si="3"/>
        <v>-72</v>
      </c>
      <c r="M30" s="14">
        <f t="shared" si="9"/>
        <v>-34</v>
      </c>
      <c r="N30" s="329">
        <f t="shared" si="10"/>
        <v>3.5847942338990926</v>
      </c>
      <c r="O30" s="182">
        <f t="shared" si="13"/>
        <v>-25.588235294117645</v>
      </c>
      <c r="P30" s="183">
        <f t="shared" si="4"/>
        <v>-24.406779661016952</v>
      </c>
      <c r="Q30" s="89">
        <f t="shared" si="5"/>
        <v>-20.606060606060606</v>
      </c>
      <c r="R30" s="31">
        <f t="shared" si="11"/>
        <v>31.236033816650217</v>
      </c>
      <c r="T30" s="107">
        <f t="shared" si="6"/>
        <v>7621</v>
      </c>
      <c r="U30" s="652">
        <v>1347</v>
      </c>
      <c r="V30" s="652">
        <v>1359</v>
      </c>
      <c r="W30" s="652">
        <v>1298</v>
      </c>
      <c r="X30" s="652">
        <v>1228</v>
      </c>
      <c r="Y30" s="652">
        <v>1193</v>
      </c>
      <c r="Z30" s="652">
        <v>1196</v>
      </c>
      <c r="AA30" s="107">
        <f t="shared" si="7"/>
        <v>7804</v>
      </c>
      <c r="AB30" s="652">
        <v>1364</v>
      </c>
      <c r="AC30" s="652">
        <v>1376</v>
      </c>
      <c r="AD30" s="652">
        <v>1325</v>
      </c>
      <c r="AE30" s="652">
        <v>1291</v>
      </c>
      <c r="AF30" s="652">
        <v>1239</v>
      </c>
      <c r="AG30" s="652">
        <v>1209</v>
      </c>
    </row>
    <row r="31" spans="2:33" x14ac:dyDescent="0.25">
      <c r="B31" s="176" t="s">
        <v>36</v>
      </c>
      <c r="C31" s="106">
        <v>453</v>
      </c>
      <c r="D31" s="107">
        <v>207</v>
      </c>
      <c r="E31" s="14">
        <v>78</v>
      </c>
      <c r="F31" s="345">
        <f t="shared" si="2"/>
        <v>10.101545253863135</v>
      </c>
      <c r="G31" s="106">
        <v>651</v>
      </c>
      <c r="H31" s="107">
        <v>208</v>
      </c>
      <c r="I31" s="14">
        <v>74</v>
      </c>
      <c r="J31" s="968">
        <f>SUM(T31)/G31</f>
        <v>7.8571428571428568</v>
      </c>
      <c r="K31" s="106">
        <f t="shared" si="12"/>
        <v>198</v>
      </c>
      <c r="L31" s="107">
        <f t="shared" si="3"/>
        <v>1</v>
      </c>
      <c r="M31" s="14">
        <f t="shared" si="9"/>
        <v>-4</v>
      </c>
      <c r="N31" s="329">
        <f t="shared" si="10"/>
        <v>-2.244402396720278</v>
      </c>
      <c r="O31" s="182">
        <f t="shared" si="13"/>
        <v>43.70860927152318</v>
      </c>
      <c r="P31" s="183">
        <f t="shared" si="4"/>
        <v>0.48309178743961351</v>
      </c>
      <c r="Q31" s="89">
        <f t="shared" si="5"/>
        <v>-5.1282051282051277</v>
      </c>
      <c r="R31" s="31">
        <f t="shared" si="11"/>
        <v>-22.218406593406598</v>
      </c>
      <c r="T31" s="107">
        <f t="shared" si="6"/>
        <v>5115</v>
      </c>
      <c r="U31" s="652">
        <v>891</v>
      </c>
      <c r="V31" s="652">
        <v>906</v>
      </c>
      <c r="W31" s="652">
        <v>875</v>
      </c>
      <c r="X31" s="652">
        <v>862</v>
      </c>
      <c r="Y31" s="652">
        <v>814</v>
      </c>
      <c r="Z31" s="652">
        <v>767</v>
      </c>
      <c r="AA31" s="107">
        <f t="shared" si="7"/>
        <v>4576</v>
      </c>
      <c r="AB31" s="652">
        <v>786</v>
      </c>
      <c r="AC31" s="652">
        <v>802</v>
      </c>
      <c r="AD31" s="652">
        <v>778</v>
      </c>
      <c r="AE31" s="652">
        <v>755</v>
      </c>
      <c r="AF31" s="652">
        <v>730</v>
      </c>
      <c r="AG31" s="652">
        <v>725</v>
      </c>
    </row>
    <row r="32" spans="2:33" x14ac:dyDescent="0.25">
      <c r="B32" s="176" t="s">
        <v>37</v>
      </c>
      <c r="C32" s="106">
        <v>690</v>
      </c>
      <c r="D32" s="107">
        <v>334</v>
      </c>
      <c r="E32" s="14">
        <v>192</v>
      </c>
      <c r="F32" s="345">
        <f t="shared" si="2"/>
        <v>21.804347826086957</v>
      </c>
      <c r="G32" s="106">
        <v>501</v>
      </c>
      <c r="H32" s="107">
        <v>345</v>
      </c>
      <c r="I32" s="14">
        <v>188</v>
      </c>
      <c r="J32" s="345">
        <f t="shared" si="8"/>
        <v>28.395209580838323</v>
      </c>
      <c r="K32" s="106">
        <f t="shared" si="12"/>
        <v>-189</v>
      </c>
      <c r="L32" s="107">
        <f t="shared" si="3"/>
        <v>11</v>
      </c>
      <c r="M32" s="14">
        <f t="shared" si="9"/>
        <v>-4</v>
      </c>
      <c r="N32" s="329">
        <f t="shared" si="10"/>
        <v>6.5908617547513657</v>
      </c>
      <c r="O32" s="182">
        <f t="shared" si="13"/>
        <v>-27.391304347826086</v>
      </c>
      <c r="P32" s="183">
        <f t="shared" si="4"/>
        <v>3.293413173652695</v>
      </c>
      <c r="Q32" s="89">
        <f t="shared" si="5"/>
        <v>-2.083333333333333</v>
      </c>
      <c r="R32" s="31">
        <f t="shared" si="11"/>
        <v>30.22728222518074</v>
      </c>
      <c r="T32" s="107">
        <f t="shared" si="6"/>
        <v>14226</v>
      </c>
      <c r="U32" s="652">
        <v>2534</v>
      </c>
      <c r="V32" s="652">
        <v>2506</v>
      </c>
      <c r="W32" s="652">
        <v>2357</v>
      </c>
      <c r="X32" s="652">
        <v>2314</v>
      </c>
      <c r="Y32" s="652">
        <v>2275</v>
      </c>
      <c r="Z32" s="652">
        <v>2240</v>
      </c>
      <c r="AA32" s="107">
        <f t="shared" si="7"/>
        <v>15045</v>
      </c>
      <c r="AB32" s="652">
        <v>2597</v>
      </c>
      <c r="AC32" s="652">
        <v>2556</v>
      </c>
      <c r="AD32" s="652">
        <v>2516</v>
      </c>
      <c r="AE32" s="652">
        <v>2492</v>
      </c>
      <c r="AF32" s="652">
        <v>2469</v>
      </c>
      <c r="AG32" s="652">
        <v>2415</v>
      </c>
    </row>
    <row r="33" spans="2:33" x14ac:dyDescent="0.25">
      <c r="B33" s="176" t="s">
        <v>38</v>
      </c>
      <c r="C33" s="106">
        <v>3993</v>
      </c>
      <c r="D33" s="107">
        <v>521</v>
      </c>
      <c r="E33" s="14">
        <v>408</v>
      </c>
      <c r="F33" s="345">
        <f t="shared" si="2"/>
        <v>8.1930879038317048</v>
      </c>
      <c r="G33" s="106">
        <v>3509</v>
      </c>
      <c r="H33" s="107">
        <v>626</v>
      </c>
      <c r="I33" s="14">
        <v>331</v>
      </c>
      <c r="J33" s="968">
        <f t="shared" si="8"/>
        <v>8.6426332288401255</v>
      </c>
      <c r="K33" s="106">
        <f t="shared" si="12"/>
        <v>-484</v>
      </c>
      <c r="L33" s="107">
        <f t="shared" si="3"/>
        <v>105</v>
      </c>
      <c r="M33" s="14">
        <f t="shared" si="9"/>
        <v>-77</v>
      </c>
      <c r="N33" s="329">
        <f t="shared" si="10"/>
        <v>0.4495453250084207</v>
      </c>
      <c r="O33" s="182">
        <f t="shared" si="13"/>
        <v>-12.121212121212121</v>
      </c>
      <c r="P33" s="183">
        <f t="shared" si="4"/>
        <v>20.153550863723606</v>
      </c>
      <c r="Q33" s="89">
        <f t="shared" si="5"/>
        <v>-18.872549019607842</v>
      </c>
      <c r="R33" s="31">
        <f t="shared" si="11"/>
        <v>5.4868851681449611</v>
      </c>
      <c r="T33" s="107">
        <f t="shared" si="6"/>
        <v>30327</v>
      </c>
      <c r="U33" s="652">
        <v>5122</v>
      </c>
      <c r="V33" s="652">
        <v>5182</v>
      </c>
      <c r="W33" s="652">
        <v>5114</v>
      </c>
      <c r="X33" s="652">
        <v>5039</v>
      </c>
      <c r="Y33" s="652">
        <v>4937</v>
      </c>
      <c r="Z33" s="652">
        <v>4933</v>
      </c>
      <c r="AA33" s="107">
        <f t="shared" si="7"/>
        <v>32715</v>
      </c>
      <c r="AB33" s="652">
        <v>5550</v>
      </c>
      <c r="AC33" s="652">
        <v>5508</v>
      </c>
      <c r="AD33" s="652">
        <v>5487</v>
      </c>
      <c r="AE33" s="652">
        <v>5482</v>
      </c>
      <c r="AF33" s="652">
        <v>5400</v>
      </c>
      <c r="AG33" s="652">
        <v>5288</v>
      </c>
    </row>
    <row r="34" spans="2:33" ht="15.75" thickBot="1" x14ac:dyDescent="0.3">
      <c r="B34" s="177" t="s">
        <v>39</v>
      </c>
      <c r="C34" s="108">
        <v>569</v>
      </c>
      <c r="D34" s="110">
        <v>268</v>
      </c>
      <c r="E34" s="19">
        <v>108</v>
      </c>
      <c r="F34" s="346">
        <f t="shared" si="2"/>
        <v>11.671353251318102</v>
      </c>
      <c r="G34" s="108">
        <v>413</v>
      </c>
      <c r="H34" s="110">
        <v>217</v>
      </c>
      <c r="I34" s="19">
        <v>73</v>
      </c>
      <c r="J34" s="346">
        <f t="shared" si="8"/>
        <v>15.990314769975788</v>
      </c>
      <c r="K34" s="108">
        <f t="shared" si="12"/>
        <v>-156</v>
      </c>
      <c r="L34" s="110">
        <f t="shared" si="3"/>
        <v>-51</v>
      </c>
      <c r="M34" s="19">
        <f t="shared" si="9"/>
        <v>-35</v>
      </c>
      <c r="N34" s="348">
        <f t="shared" si="10"/>
        <v>4.3189615186576855</v>
      </c>
      <c r="O34" s="184">
        <f t="shared" si="13"/>
        <v>-27.416520210896312</v>
      </c>
      <c r="P34" s="185">
        <f t="shared" si="4"/>
        <v>-19.029850746268657</v>
      </c>
      <c r="Q34" s="90">
        <f t="shared" si="5"/>
        <v>-32.407407407407405</v>
      </c>
      <c r="R34" s="186">
        <f t="shared" si="11"/>
        <v>37.004805061229078</v>
      </c>
      <c r="T34" s="107">
        <f t="shared" si="6"/>
        <v>6604</v>
      </c>
      <c r="U34" s="652">
        <v>1159</v>
      </c>
      <c r="V34" s="652">
        <v>1161</v>
      </c>
      <c r="W34" s="652">
        <v>1121</v>
      </c>
      <c r="X34" s="652">
        <v>1086</v>
      </c>
      <c r="Y34" s="652">
        <v>1043</v>
      </c>
      <c r="Z34" s="652">
        <v>1034</v>
      </c>
      <c r="AA34" s="107">
        <f t="shared" si="7"/>
        <v>6641</v>
      </c>
      <c r="AB34" s="652">
        <v>1146</v>
      </c>
      <c r="AC34" s="652">
        <v>1155</v>
      </c>
      <c r="AD34" s="652">
        <v>1125</v>
      </c>
      <c r="AE34" s="652">
        <v>1107</v>
      </c>
      <c r="AF34" s="652">
        <v>1073</v>
      </c>
      <c r="AG34" s="652">
        <v>1035</v>
      </c>
    </row>
    <row r="36" spans="2:33" x14ac:dyDescent="0.25">
      <c r="D36" s="298"/>
      <c r="H36" s="298"/>
      <c r="I36" s="298"/>
      <c r="K36" s="295"/>
    </row>
    <row r="37" spans="2:33" x14ac:dyDescent="0.25">
      <c r="G37" s="297"/>
    </row>
  </sheetData>
  <mergeCells count="18">
    <mergeCell ref="F7:F8"/>
    <mergeCell ref="K7:K8"/>
    <mergeCell ref="L7:M7"/>
    <mergeCell ref="N7:N8"/>
    <mergeCell ref="O7:O8"/>
    <mergeCell ref="C5:I5"/>
    <mergeCell ref="B6:B8"/>
    <mergeCell ref="C6:F6"/>
    <mergeCell ref="K6:N6"/>
    <mergeCell ref="O6:R6"/>
    <mergeCell ref="G7:G8"/>
    <mergeCell ref="H7:I7"/>
    <mergeCell ref="J7:J8"/>
    <mergeCell ref="C7:C8"/>
    <mergeCell ref="P7:Q7"/>
    <mergeCell ref="R7:R8"/>
    <mergeCell ref="G6:J6"/>
    <mergeCell ref="D7:E7"/>
  </mergeCells>
  <pageMargins left="0" right="0" top="1.3779527559055118" bottom="0" header="0" footer="0"/>
  <pageSetup paperSize="9" scale="4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  <pageSetUpPr fitToPage="1"/>
  </sheetPr>
  <dimension ref="B1:G63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" style="77" customWidth="1"/>
    <col min="2" max="2" width="60" style="77" customWidth="1"/>
    <col min="3" max="3" width="10.7109375" style="77" customWidth="1"/>
    <col min="4" max="4" width="11.140625" style="77" customWidth="1"/>
    <col min="5" max="5" width="10.28515625" style="77" customWidth="1"/>
    <col min="6" max="6" width="11.5703125" style="77" customWidth="1"/>
    <col min="7" max="7" width="10.5703125" style="77" customWidth="1"/>
    <col min="8" max="16384" width="9.140625" style="77"/>
  </cols>
  <sheetData>
    <row r="1" spans="2:7" x14ac:dyDescent="0.25">
      <c r="B1" s="236" t="s">
        <v>581</v>
      </c>
      <c r="C1" s="237"/>
      <c r="D1" s="237"/>
      <c r="E1" s="237"/>
    </row>
    <row r="2" spans="2:7" x14ac:dyDescent="0.25">
      <c r="B2" s="11" t="s">
        <v>582</v>
      </c>
      <c r="C2" s="143"/>
      <c r="D2" s="143"/>
      <c r="E2" s="143"/>
    </row>
    <row r="3" spans="2:7" ht="15.75" thickBot="1" x14ac:dyDescent="0.3">
      <c r="B3" s="11" t="s">
        <v>311</v>
      </c>
      <c r="C3" s="143"/>
      <c r="D3" s="143"/>
      <c r="E3" s="143"/>
    </row>
    <row r="4" spans="2:7" ht="45.75" thickBot="1" x14ac:dyDescent="0.3">
      <c r="B4" s="936" t="s">
        <v>157</v>
      </c>
      <c r="C4" s="938" t="s">
        <v>175</v>
      </c>
      <c r="D4" s="945" t="s">
        <v>444</v>
      </c>
      <c r="E4" s="740" t="s">
        <v>376</v>
      </c>
      <c r="F4" s="937" t="s">
        <v>518</v>
      </c>
      <c r="G4" s="740" t="s">
        <v>376</v>
      </c>
    </row>
    <row r="5" spans="2:7" ht="28.5" x14ac:dyDescent="0.25">
      <c r="B5" s="891" t="s">
        <v>220</v>
      </c>
      <c r="C5" s="892">
        <v>1</v>
      </c>
      <c r="D5" s="893">
        <f>SUM(D6:D9)</f>
        <v>131</v>
      </c>
      <c r="E5" s="894">
        <f>SUM(D5/D59)*100</f>
        <v>0.55438002539145148</v>
      </c>
      <c r="F5" s="895">
        <f>SUM(F6:F9)</f>
        <v>141</v>
      </c>
      <c r="G5" s="894">
        <f>SUM(F5/F59)*100</f>
        <v>0.66770848131836913</v>
      </c>
    </row>
    <row r="6" spans="2:7" ht="30" x14ac:dyDescent="0.25">
      <c r="B6" s="190" t="s">
        <v>221</v>
      </c>
      <c r="C6" s="778">
        <v>11</v>
      </c>
      <c r="D6" s="773">
        <v>6</v>
      </c>
      <c r="E6" s="208">
        <f>SUM(D6)/D5*100</f>
        <v>4.5801526717557248</v>
      </c>
      <c r="F6" s="191">
        <v>12</v>
      </c>
      <c r="G6" s="208">
        <f>SUM(F6)/F5*100</f>
        <v>8.5106382978723403</v>
      </c>
    </row>
    <row r="7" spans="2:7" x14ac:dyDescent="0.25">
      <c r="B7" s="190" t="s">
        <v>176</v>
      </c>
      <c r="C7" s="778">
        <v>12</v>
      </c>
      <c r="D7" s="773">
        <v>49</v>
      </c>
      <c r="E7" s="208">
        <f>SUM(D7)/D5*100</f>
        <v>37.404580152671755</v>
      </c>
      <c r="F7" s="191">
        <v>56</v>
      </c>
      <c r="G7" s="208">
        <f>SUM(F7)/F5*100</f>
        <v>39.716312056737593</v>
      </c>
    </row>
    <row r="8" spans="2:7" x14ac:dyDescent="0.25">
      <c r="B8" s="190" t="s">
        <v>177</v>
      </c>
      <c r="C8" s="778">
        <v>13</v>
      </c>
      <c r="D8" s="773">
        <v>53</v>
      </c>
      <c r="E8" s="208">
        <f>SUM(D8)/D5*100</f>
        <v>40.458015267175576</v>
      </c>
      <c r="F8" s="191">
        <v>44</v>
      </c>
      <c r="G8" s="208">
        <f>SUM(F8)/F5*100</f>
        <v>31.205673758865249</v>
      </c>
    </row>
    <row r="9" spans="2:7" ht="30" x14ac:dyDescent="0.25">
      <c r="B9" s="190" t="s">
        <v>178</v>
      </c>
      <c r="C9" s="778">
        <v>14</v>
      </c>
      <c r="D9" s="773">
        <v>23</v>
      </c>
      <c r="E9" s="209">
        <f>SUM(D9)/D5*100</f>
        <v>17.557251908396946</v>
      </c>
      <c r="F9" s="191">
        <v>29</v>
      </c>
      <c r="G9" s="209">
        <f>SUM(F9)/F5*100</f>
        <v>20.567375886524822</v>
      </c>
    </row>
    <row r="10" spans="2:7" x14ac:dyDescent="0.25">
      <c r="B10" s="896" t="s">
        <v>165</v>
      </c>
      <c r="C10" s="897">
        <v>2</v>
      </c>
      <c r="D10" s="898">
        <f>SUM(D11:D16)</f>
        <v>1579</v>
      </c>
      <c r="E10" s="899">
        <f>SUM(D10/D59)*100</f>
        <v>6.6821836648328397</v>
      </c>
      <c r="F10" s="900">
        <f>SUM(F11:F16)</f>
        <v>1548</v>
      </c>
      <c r="G10" s="899">
        <f>SUM(F10/F59)*100</f>
        <v>7.3305867310697543</v>
      </c>
    </row>
    <row r="11" spans="2:7" x14ac:dyDescent="0.25">
      <c r="B11" s="190" t="s">
        <v>181</v>
      </c>
      <c r="C11" s="778">
        <v>21</v>
      </c>
      <c r="D11" s="774">
        <v>294</v>
      </c>
      <c r="E11" s="208">
        <f>SUM(D11)/D10*100</f>
        <v>18.619379354021532</v>
      </c>
      <c r="F11" s="131">
        <v>291</v>
      </c>
      <c r="G11" s="208">
        <f>SUM(F11)/F10*100</f>
        <v>18.7984496124031</v>
      </c>
    </row>
    <row r="12" spans="2:7" x14ac:dyDescent="0.25">
      <c r="B12" s="190" t="s">
        <v>182</v>
      </c>
      <c r="C12" s="778">
        <v>22</v>
      </c>
      <c r="D12" s="773">
        <v>307</v>
      </c>
      <c r="E12" s="208">
        <f>SUM(D12)/D10*100</f>
        <v>19.442685243825206</v>
      </c>
      <c r="F12" s="191">
        <v>228</v>
      </c>
      <c r="G12" s="208">
        <f>SUM(F12)/F10*100</f>
        <v>14.728682170542637</v>
      </c>
    </row>
    <row r="13" spans="2:7" x14ac:dyDescent="0.25">
      <c r="B13" s="190" t="s">
        <v>183</v>
      </c>
      <c r="C13" s="778">
        <v>23</v>
      </c>
      <c r="D13" s="774">
        <v>319</v>
      </c>
      <c r="E13" s="208">
        <f>SUM(D13)/D10*100</f>
        <v>20.202659911336287</v>
      </c>
      <c r="F13" s="131">
        <v>461</v>
      </c>
      <c r="G13" s="208">
        <f>SUM(F13)/F10*100</f>
        <v>29.780361757105943</v>
      </c>
    </row>
    <row r="14" spans="2:7" x14ac:dyDescent="0.25">
      <c r="B14" s="190" t="s">
        <v>184</v>
      </c>
      <c r="C14" s="778">
        <v>24</v>
      </c>
      <c r="D14" s="774">
        <v>371</v>
      </c>
      <c r="E14" s="208">
        <f>SUM(D14)/D10*100</f>
        <v>23.495883470550982</v>
      </c>
      <c r="F14" s="131">
        <v>375</v>
      </c>
      <c r="G14" s="208">
        <f>SUM(F14)/F10*100</f>
        <v>24.224806201550386</v>
      </c>
    </row>
    <row r="15" spans="2:7" x14ac:dyDescent="0.25">
      <c r="B15" s="190" t="s">
        <v>185</v>
      </c>
      <c r="C15" s="778">
        <v>25</v>
      </c>
      <c r="D15" s="773">
        <v>30</v>
      </c>
      <c r="E15" s="208">
        <f>SUM(D15)/D10*100</f>
        <v>1.8999366687777075</v>
      </c>
      <c r="F15" s="191">
        <v>28</v>
      </c>
      <c r="G15" s="208">
        <f>SUM(F15)/F10*100</f>
        <v>1.8087855297157622</v>
      </c>
    </row>
    <row r="16" spans="2:7" x14ac:dyDescent="0.25">
      <c r="B16" s="190" t="s">
        <v>186</v>
      </c>
      <c r="C16" s="778">
        <v>26</v>
      </c>
      <c r="D16" s="774">
        <v>258</v>
      </c>
      <c r="E16" s="208">
        <f>SUM(D16)/D10*100</f>
        <v>16.339455351488283</v>
      </c>
      <c r="F16" s="131">
        <v>165</v>
      </c>
      <c r="G16" s="208">
        <f>SUM(F16)/F10*100</f>
        <v>10.65891472868217</v>
      </c>
    </row>
    <row r="17" spans="2:7" x14ac:dyDescent="0.25">
      <c r="B17" s="896" t="s">
        <v>166</v>
      </c>
      <c r="C17" s="897">
        <v>3</v>
      </c>
      <c r="D17" s="898">
        <f>SUM(D18:D22)</f>
        <v>2087</v>
      </c>
      <c r="E17" s="899">
        <f>SUM(D17)/D59*100</f>
        <v>8.8319932289462546</v>
      </c>
      <c r="F17" s="900">
        <f>SUM(F18:F22)</f>
        <v>1784</v>
      </c>
      <c r="G17" s="899">
        <f>SUM(F17)/F59*100</f>
        <v>8.4481697210778037</v>
      </c>
    </row>
    <row r="18" spans="2:7" x14ac:dyDescent="0.25">
      <c r="B18" s="190" t="s">
        <v>187</v>
      </c>
      <c r="C18" s="778">
        <v>31</v>
      </c>
      <c r="D18" s="774">
        <v>497</v>
      </c>
      <c r="E18" s="208">
        <f>SUM(D18)/D17*100</f>
        <v>23.814087206516533</v>
      </c>
      <c r="F18" s="131">
        <v>343</v>
      </c>
      <c r="G18" s="208">
        <f>SUM(F18)/F17*100</f>
        <v>19.22645739910314</v>
      </c>
    </row>
    <row r="19" spans="2:7" x14ac:dyDescent="0.25">
      <c r="B19" s="190" t="s">
        <v>188</v>
      </c>
      <c r="C19" s="778">
        <v>32</v>
      </c>
      <c r="D19" s="774">
        <v>315</v>
      </c>
      <c r="E19" s="208">
        <f>SUM(D19)/D17*100</f>
        <v>15.093435553425971</v>
      </c>
      <c r="F19" s="131">
        <v>369</v>
      </c>
      <c r="G19" s="208">
        <f>SUM(F19)/F17*100</f>
        <v>20.683856502242151</v>
      </c>
    </row>
    <row r="20" spans="2:7" x14ac:dyDescent="0.25">
      <c r="B20" s="190" t="s">
        <v>189</v>
      </c>
      <c r="C20" s="778">
        <v>33</v>
      </c>
      <c r="D20" s="774">
        <v>823</v>
      </c>
      <c r="E20" s="208">
        <f>SUM(D20)/D17*100</f>
        <v>39.434595112601819</v>
      </c>
      <c r="F20" s="131">
        <v>642</v>
      </c>
      <c r="G20" s="208">
        <f>SUM(F20)/F17*100</f>
        <v>35.986547085201792</v>
      </c>
    </row>
    <row r="21" spans="2:7" ht="30" x14ac:dyDescent="0.25">
      <c r="B21" s="190" t="s">
        <v>190</v>
      </c>
      <c r="C21" s="778">
        <v>34</v>
      </c>
      <c r="D21" s="774">
        <v>410</v>
      </c>
      <c r="E21" s="208">
        <f>SUM(D21)/D17*100</f>
        <v>19.64542405366555</v>
      </c>
      <c r="F21" s="131">
        <v>397</v>
      </c>
      <c r="G21" s="208">
        <f>SUM(F21)/F17*100</f>
        <v>22.253363228699552</v>
      </c>
    </row>
    <row r="22" spans="2:7" x14ac:dyDescent="0.25">
      <c r="B22" s="190" t="s">
        <v>191</v>
      </c>
      <c r="C22" s="778">
        <v>35</v>
      </c>
      <c r="D22" s="773">
        <v>42</v>
      </c>
      <c r="E22" s="208">
        <f>SUM(D22)/D17*100</f>
        <v>2.0124580737901296</v>
      </c>
      <c r="F22" s="191">
        <v>33</v>
      </c>
      <c r="G22" s="208">
        <f>SUM(F22)/F17*100</f>
        <v>1.8497757847533634</v>
      </c>
    </row>
    <row r="23" spans="2:7" x14ac:dyDescent="0.25">
      <c r="B23" s="896" t="s">
        <v>167</v>
      </c>
      <c r="C23" s="897">
        <v>4</v>
      </c>
      <c r="D23" s="898">
        <f>SUM(D24:D27)</f>
        <v>3056</v>
      </c>
      <c r="E23" s="899">
        <f>SUM(D23)/D59*100</f>
        <v>12.932712653406686</v>
      </c>
      <c r="F23" s="900">
        <f>SUM(F24:F27)</f>
        <v>2663</v>
      </c>
      <c r="G23" s="899">
        <f>SUM(F23)/F59*100</f>
        <v>12.610692806743382</v>
      </c>
    </row>
    <row r="24" spans="2:7" x14ac:dyDescent="0.25">
      <c r="B24" s="190" t="s">
        <v>192</v>
      </c>
      <c r="C24" s="778">
        <v>41</v>
      </c>
      <c r="D24" s="774">
        <v>1542</v>
      </c>
      <c r="E24" s="208">
        <f>SUM(D24)/D23*100</f>
        <v>50.458115183246079</v>
      </c>
      <c r="F24" s="131">
        <v>1392</v>
      </c>
      <c r="G24" s="208">
        <f>SUM(F24)/F23*100</f>
        <v>52.271873826511452</v>
      </c>
    </row>
    <row r="25" spans="2:7" x14ac:dyDescent="0.25">
      <c r="B25" s="190" t="s">
        <v>193</v>
      </c>
      <c r="C25" s="778">
        <v>42</v>
      </c>
      <c r="D25" s="773">
        <v>206</v>
      </c>
      <c r="E25" s="208">
        <f>SUM(D25)/D23*100</f>
        <v>6.7408376963350776</v>
      </c>
      <c r="F25" s="191">
        <v>149</v>
      </c>
      <c r="G25" s="208">
        <f>SUM(F25)/F23*100</f>
        <v>5.5951933909125051</v>
      </c>
    </row>
    <row r="26" spans="2:7" ht="30" x14ac:dyDescent="0.25">
      <c r="B26" s="190" t="s">
        <v>194</v>
      </c>
      <c r="C26" s="778">
        <v>43</v>
      </c>
      <c r="D26" s="774">
        <v>1172</v>
      </c>
      <c r="E26" s="208">
        <f>SUM(D26)/D23*100</f>
        <v>38.35078534031414</v>
      </c>
      <c r="F26" s="131">
        <v>1012</v>
      </c>
      <c r="G26" s="208">
        <f>SUM(F26)/F23*100</f>
        <v>38.002253098009767</v>
      </c>
    </row>
    <row r="27" spans="2:7" x14ac:dyDescent="0.25">
      <c r="B27" s="190" t="s">
        <v>195</v>
      </c>
      <c r="C27" s="778">
        <v>44</v>
      </c>
      <c r="D27" s="773">
        <v>136</v>
      </c>
      <c r="E27" s="208">
        <f>SUM(D27)/D23*100</f>
        <v>4.4502617801047117</v>
      </c>
      <c r="F27" s="191">
        <v>110</v>
      </c>
      <c r="G27" s="208">
        <f>SUM(F27)/F23*100</f>
        <v>4.130679684566279</v>
      </c>
    </row>
    <row r="28" spans="2:7" x14ac:dyDescent="0.25">
      <c r="B28" s="896" t="s">
        <v>168</v>
      </c>
      <c r="C28" s="897">
        <v>5</v>
      </c>
      <c r="D28" s="898">
        <f>SUM(D29:D32)</f>
        <v>5039</v>
      </c>
      <c r="E28" s="899">
        <f>SUM(D28)/D59*100</f>
        <v>21.324587388912398</v>
      </c>
      <c r="F28" s="900">
        <f>SUM(F29:F32)</f>
        <v>4115</v>
      </c>
      <c r="G28" s="899">
        <f>SUM(F28)/F59*100</f>
        <v>19.486669507979354</v>
      </c>
    </row>
    <row r="29" spans="2:7" x14ac:dyDescent="0.25">
      <c r="B29" s="190" t="s">
        <v>196</v>
      </c>
      <c r="C29" s="778">
        <v>51</v>
      </c>
      <c r="D29" s="774">
        <v>2331</v>
      </c>
      <c r="E29" s="208">
        <f>SUM(D29)/D28*100</f>
        <v>46.259178408414371</v>
      </c>
      <c r="F29" s="131">
        <v>1881</v>
      </c>
      <c r="G29" s="208">
        <f>SUM(F29)/F28*100</f>
        <v>45.710814094775216</v>
      </c>
    </row>
    <row r="30" spans="2:7" x14ac:dyDescent="0.25">
      <c r="B30" s="190" t="s">
        <v>197</v>
      </c>
      <c r="C30" s="778">
        <v>52</v>
      </c>
      <c r="D30" s="774">
        <v>1999</v>
      </c>
      <c r="E30" s="208">
        <f>SUM(D30)/D28*100</f>
        <v>39.67056955745187</v>
      </c>
      <c r="F30" s="131">
        <v>1727</v>
      </c>
      <c r="G30" s="208">
        <f>SUM(F30)/F28*100</f>
        <v>41.968408262454439</v>
      </c>
    </row>
    <row r="31" spans="2:7" x14ac:dyDescent="0.25">
      <c r="B31" s="190" t="s">
        <v>198</v>
      </c>
      <c r="C31" s="778">
        <v>53</v>
      </c>
      <c r="D31" s="773">
        <v>427</v>
      </c>
      <c r="E31" s="208">
        <f>SUM(D31)/D28*100</f>
        <v>8.4739035522921213</v>
      </c>
      <c r="F31" s="191">
        <v>346</v>
      </c>
      <c r="G31" s="208">
        <f>SUM(F31)/F28*100</f>
        <v>8.4082624544349933</v>
      </c>
    </row>
    <row r="32" spans="2:7" x14ac:dyDescent="0.25">
      <c r="B32" s="190" t="s">
        <v>199</v>
      </c>
      <c r="C32" s="778">
        <v>54</v>
      </c>
      <c r="D32" s="773">
        <v>282</v>
      </c>
      <c r="E32" s="208">
        <f>SUM(D32)/D28*100</f>
        <v>5.5963484818416349</v>
      </c>
      <c r="F32" s="191">
        <v>161</v>
      </c>
      <c r="G32" s="208">
        <f>SUM(F32)/F28*100</f>
        <v>3.9125151883353579</v>
      </c>
    </row>
    <row r="33" spans="2:7" x14ac:dyDescent="0.25">
      <c r="B33" s="896" t="s">
        <v>169</v>
      </c>
      <c r="C33" s="897">
        <v>6</v>
      </c>
      <c r="D33" s="898">
        <f>SUM(D34:D36)</f>
        <v>154</v>
      </c>
      <c r="E33" s="899">
        <f>SUM(D33)/D59*100</f>
        <v>0.65171392297926367</v>
      </c>
      <c r="F33" s="900">
        <f>SUM(F34:F36)</f>
        <v>136</v>
      </c>
      <c r="G33" s="899">
        <f>SUM(F33)/F59*100</f>
        <v>0.64403087559785954</v>
      </c>
    </row>
    <row r="34" spans="2:7" x14ac:dyDescent="0.25">
      <c r="B34" s="190" t="s">
        <v>200</v>
      </c>
      <c r="C34" s="778">
        <v>61</v>
      </c>
      <c r="D34" s="774">
        <v>106</v>
      </c>
      <c r="E34" s="208">
        <f>SUM(D34)/D33*100</f>
        <v>68.831168831168839</v>
      </c>
      <c r="F34" s="131">
        <v>75</v>
      </c>
      <c r="G34" s="208">
        <f>SUM(F34)/F33*100</f>
        <v>55.147058823529413</v>
      </c>
    </row>
    <row r="35" spans="2:7" x14ac:dyDescent="0.25">
      <c r="B35" s="190" t="s">
        <v>201</v>
      </c>
      <c r="C35" s="778">
        <v>62</v>
      </c>
      <c r="D35" s="773">
        <v>48</v>
      </c>
      <c r="E35" s="208">
        <f>SUM(D35)/D33*100</f>
        <v>31.168831168831169</v>
      </c>
      <c r="F35" s="191">
        <v>61</v>
      </c>
      <c r="G35" s="208">
        <f>SUM(F35)/F33*100</f>
        <v>44.852941176470587</v>
      </c>
    </row>
    <row r="36" spans="2:7" x14ac:dyDescent="0.25">
      <c r="B36" s="190" t="s">
        <v>202</v>
      </c>
      <c r="C36" s="778">
        <v>63</v>
      </c>
      <c r="D36" s="773">
        <v>0</v>
      </c>
      <c r="E36" s="208">
        <f>SUM(D36)/D33*100</f>
        <v>0</v>
      </c>
      <c r="F36" s="191">
        <v>0</v>
      </c>
      <c r="G36" s="208">
        <f>SUM(F36)/F33*100</f>
        <v>0</v>
      </c>
    </row>
    <row r="37" spans="2:7" x14ac:dyDescent="0.25">
      <c r="B37" s="896" t="s">
        <v>170</v>
      </c>
      <c r="C37" s="897">
        <v>7</v>
      </c>
      <c r="D37" s="898">
        <f>SUM(D38:D42)</f>
        <v>5460</v>
      </c>
      <c r="E37" s="899">
        <f>SUM(D37)/D59*100</f>
        <v>23.10622090562844</v>
      </c>
      <c r="F37" s="900">
        <f>SUM(F38:F42)</f>
        <v>5119</v>
      </c>
      <c r="G37" s="899">
        <f>SUM(F37)/F59*100</f>
        <v>24.241132736657669</v>
      </c>
    </row>
    <row r="38" spans="2:7" x14ac:dyDescent="0.25">
      <c r="B38" s="190" t="s">
        <v>203</v>
      </c>
      <c r="C38" s="778">
        <v>71</v>
      </c>
      <c r="D38" s="774">
        <v>2005</v>
      </c>
      <c r="E38" s="208">
        <f>SUM(D38)/D37*100</f>
        <v>36.721611721611723</v>
      </c>
      <c r="F38" s="131">
        <v>1847</v>
      </c>
      <c r="G38" s="208">
        <f>SUM(F38)/F37*100</f>
        <v>36.081265872240671</v>
      </c>
    </row>
    <row r="39" spans="2:7" x14ac:dyDescent="0.25">
      <c r="B39" s="190" t="s">
        <v>204</v>
      </c>
      <c r="C39" s="778">
        <v>72</v>
      </c>
      <c r="D39" s="774">
        <v>1774</v>
      </c>
      <c r="E39" s="208">
        <f>SUM(D39)/D37*100</f>
        <v>32.490842490842489</v>
      </c>
      <c r="F39" s="131">
        <v>1486</v>
      </c>
      <c r="G39" s="208">
        <f>SUM(F39)/F37*100</f>
        <v>29.029107247509277</v>
      </c>
    </row>
    <row r="40" spans="2:7" x14ac:dyDescent="0.25">
      <c r="B40" s="190" t="s">
        <v>205</v>
      </c>
      <c r="C40" s="778">
        <v>73</v>
      </c>
      <c r="D40" s="774">
        <v>90</v>
      </c>
      <c r="E40" s="208">
        <f>SUM(D40)/D37*100</f>
        <v>1.6483516483516485</v>
      </c>
      <c r="F40" s="131">
        <v>62</v>
      </c>
      <c r="G40" s="208">
        <f>SUM(F40)/F37*100</f>
        <v>1.2111740574330925</v>
      </c>
    </row>
    <row r="41" spans="2:7" x14ac:dyDescent="0.25">
      <c r="B41" s="190" t="s">
        <v>206</v>
      </c>
      <c r="C41" s="778">
        <v>74</v>
      </c>
      <c r="D41" s="774">
        <v>525</v>
      </c>
      <c r="E41" s="208">
        <f>SUM(D41)/D37*100</f>
        <v>9.6153846153846168</v>
      </c>
      <c r="F41" s="131">
        <v>550</v>
      </c>
      <c r="G41" s="208">
        <f>SUM(F41)/F37*100</f>
        <v>10.744285993358078</v>
      </c>
    </row>
    <row r="42" spans="2:7" ht="30" x14ac:dyDescent="0.25">
      <c r="B42" s="190" t="s">
        <v>207</v>
      </c>
      <c r="C42" s="778">
        <v>75</v>
      </c>
      <c r="D42" s="774">
        <v>1066</v>
      </c>
      <c r="E42" s="208">
        <f>SUM(D42)/D37*100</f>
        <v>19.523809523809526</v>
      </c>
      <c r="F42" s="131">
        <v>1174</v>
      </c>
      <c r="G42" s="208">
        <f>SUM(F42)/F37*100</f>
        <v>22.934166829458881</v>
      </c>
    </row>
    <row r="43" spans="2:7" x14ac:dyDescent="0.25">
      <c r="B43" s="896" t="s">
        <v>171</v>
      </c>
      <c r="C43" s="897">
        <v>8</v>
      </c>
      <c r="D43" s="898">
        <f>SUM(D44:D46)</f>
        <v>2783</v>
      </c>
      <c r="E43" s="899">
        <f>SUM(D43)/D59*100</f>
        <v>11.777401608125263</v>
      </c>
      <c r="F43" s="900">
        <f>SUM(F44:F46)</f>
        <v>2401</v>
      </c>
      <c r="G43" s="899">
        <f>SUM(F43)/F59*100</f>
        <v>11.369986266988683</v>
      </c>
    </row>
    <row r="44" spans="2:7" x14ac:dyDescent="0.25">
      <c r="B44" s="190" t="s">
        <v>208</v>
      </c>
      <c r="C44" s="778">
        <v>81</v>
      </c>
      <c r="D44" s="774">
        <v>1606</v>
      </c>
      <c r="E44" s="208">
        <f>SUM(D44)/D43*100</f>
        <v>57.707509881422922</v>
      </c>
      <c r="F44" s="131">
        <v>1161</v>
      </c>
      <c r="G44" s="208">
        <f>SUM(F44)/F43*100</f>
        <v>48.354852144939606</v>
      </c>
    </row>
    <row r="45" spans="2:7" x14ac:dyDescent="0.25">
      <c r="B45" s="190" t="s">
        <v>209</v>
      </c>
      <c r="C45" s="778">
        <v>82</v>
      </c>
      <c r="D45" s="773">
        <v>111</v>
      </c>
      <c r="E45" s="208">
        <f>SUM(D45)/D43*100</f>
        <v>3.9885016169601148</v>
      </c>
      <c r="F45" s="191">
        <v>285</v>
      </c>
      <c r="G45" s="208">
        <f>SUM(F45)/F43*100</f>
        <v>11.870054144106621</v>
      </c>
    </row>
    <row r="46" spans="2:7" x14ac:dyDescent="0.25">
      <c r="B46" s="190" t="s">
        <v>210</v>
      </c>
      <c r="C46" s="778">
        <v>83</v>
      </c>
      <c r="D46" s="774">
        <v>1066</v>
      </c>
      <c r="E46" s="208">
        <f>SUM(D46)/D43*100</f>
        <v>38.303988501616956</v>
      </c>
      <c r="F46" s="131">
        <v>955</v>
      </c>
      <c r="G46" s="208">
        <f>SUM(F46)/F43*100</f>
        <v>39.775093710953769</v>
      </c>
    </row>
    <row r="47" spans="2:7" x14ac:dyDescent="0.25">
      <c r="B47" s="896" t="s">
        <v>172</v>
      </c>
      <c r="C47" s="897">
        <v>9</v>
      </c>
      <c r="D47" s="898">
        <f>SUM(D48:D53)</f>
        <v>3341</v>
      </c>
      <c r="E47" s="899">
        <f>SUM(D47)/D59*100</f>
        <v>14.138806601777402</v>
      </c>
      <c r="F47" s="900">
        <f>SUM(F48:F53)</f>
        <v>3210</v>
      </c>
      <c r="G47" s="899">
        <f>SUM(F47)/F59*100</f>
        <v>15.201022872567126</v>
      </c>
    </row>
    <row r="48" spans="2:7" x14ac:dyDescent="0.25">
      <c r="B48" s="190" t="s">
        <v>211</v>
      </c>
      <c r="C48" s="778">
        <v>91</v>
      </c>
      <c r="D48" s="774">
        <v>755</v>
      </c>
      <c r="E48" s="208">
        <f>SUM(D48)/D47*100</f>
        <v>22.598024543549837</v>
      </c>
      <c r="F48" s="131">
        <v>659</v>
      </c>
      <c r="G48" s="208">
        <f>SUM(F48)/F47*100</f>
        <v>20.529595015576323</v>
      </c>
    </row>
    <row r="49" spans="2:7" ht="30" x14ac:dyDescent="0.25">
      <c r="B49" s="190" t="s">
        <v>212</v>
      </c>
      <c r="C49" s="778">
        <v>92</v>
      </c>
      <c r="D49" s="773">
        <v>127</v>
      </c>
      <c r="E49" s="208">
        <f>SUM(D49)/D47*100</f>
        <v>3.8012571086501046</v>
      </c>
      <c r="F49" s="191">
        <v>123</v>
      </c>
      <c r="G49" s="208">
        <f>SUM(F49)/F47*100</f>
        <v>3.8317757009345796</v>
      </c>
    </row>
    <row r="50" spans="2:7" ht="30" x14ac:dyDescent="0.25">
      <c r="B50" s="190" t="s">
        <v>213</v>
      </c>
      <c r="C50" s="778">
        <v>93</v>
      </c>
      <c r="D50" s="774">
        <v>1409</v>
      </c>
      <c r="E50" s="208">
        <f>SUM(D50)/D47*100</f>
        <v>42.173002095181083</v>
      </c>
      <c r="F50" s="131">
        <v>1306</v>
      </c>
      <c r="G50" s="208">
        <f>SUM(F50)/F47*100</f>
        <v>40.685358255451717</v>
      </c>
    </row>
    <row r="51" spans="2:7" ht="30" x14ac:dyDescent="0.25">
      <c r="B51" s="190" t="s">
        <v>214</v>
      </c>
      <c r="C51" s="778">
        <v>94</v>
      </c>
      <c r="D51" s="773">
        <v>729</v>
      </c>
      <c r="E51" s="208">
        <f>SUM(D51)/D47*100</f>
        <v>21.819814426818319</v>
      </c>
      <c r="F51" s="191">
        <v>655</v>
      </c>
      <c r="G51" s="208">
        <f>SUM(F51)/F47*100</f>
        <v>20.404984423676012</v>
      </c>
    </row>
    <row r="52" spans="2:7" x14ac:dyDescent="0.25">
      <c r="B52" s="190" t="s">
        <v>215</v>
      </c>
      <c r="C52" s="778">
        <v>95</v>
      </c>
      <c r="D52" s="773">
        <v>0</v>
      </c>
      <c r="E52" s="208">
        <f>SUM(D52)/D47*100</f>
        <v>0</v>
      </c>
      <c r="F52" s="191">
        <v>0</v>
      </c>
      <c r="G52" s="208">
        <f>SUM(F52)/F47*100</f>
        <v>0</v>
      </c>
    </row>
    <row r="53" spans="2:7" x14ac:dyDescent="0.25">
      <c r="B53" s="190" t="s">
        <v>216</v>
      </c>
      <c r="C53" s="778">
        <v>96</v>
      </c>
      <c r="D53" s="774">
        <v>321</v>
      </c>
      <c r="E53" s="208">
        <f>SUM(D53)/D47*100</f>
        <v>9.6079018258006599</v>
      </c>
      <c r="F53" s="131">
        <v>467</v>
      </c>
      <c r="G53" s="208">
        <f>SUM(F53)/F47*100</f>
        <v>14.548286604361371</v>
      </c>
    </row>
    <row r="54" spans="2:7" x14ac:dyDescent="0.25">
      <c r="B54" s="896" t="s">
        <v>179</v>
      </c>
      <c r="C54" s="897">
        <v>0</v>
      </c>
      <c r="D54" s="906">
        <f>SUM(D55:D57)</f>
        <v>0</v>
      </c>
      <c r="E54" s="899">
        <f>SUM(D54)/D59*100</f>
        <v>0</v>
      </c>
      <c r="F54" s="905">
        <f>SUM(F55:F57)</f>
        <v>0</v>
      </c>
      <c r="G54" s="899">
        <f>SUM(F54)/F59*100</f>
        <v>0</v>
      </c>
    </row>
    <row r="55" spans="2:7" x14ac:dyDescent="0.25">
      <c r="B55" s="190" t="s">
        <v>217</v>
      </c>
      <c r="C55" s="778">
        <v>1</v>
      </c>
      <c r="D55" s="773">
        <v>0</v>
      </c>
      <c r="E55" s="292" t="s">
        <v>93</v>
      </c>
      <c r="F55" s="191">
        <v>0</v>
      </c>
      <c r="G55" s="292" t="s">
        <v>93</v>
      </c>
    </row>
    <row r="56" spans="2:7" x14ac:dyDescent="0.25">
      <c r="B56" s="190" t="s">
        <v>218</v>
      </c>
      <c r="C56" s="778">
        <v>2</v>
      </c>
      <c r="D56" s="773">
        <v>0</v>
      </c>
      <c r="E56" s="292" t="s">
        <v>93</v>
      </c>
      <c r="F56" s="191">
        <v>0</v>
      </c>
      <c r="G56" s="292" t="s">
        <v>93</v>
      </c>
    </row>
    <row r="57" spans="2:7" ht="15.75" thickBot="1" x14ac:dyDescent="0.3">
      <c r="B57" s="192" t="s">
        <v>219</v>
      </c>
      <c r="C57" s="779">
        <v>3</v>
      </c>
      <c r="D57" s="775">
        <v>0</v>
      </c>
      <c r="E57" s="293" t="s">
        <v>93</v>
      </c>
      <c r="F57" s="187">
        <v>0</v>
      </c>
      <c r="G57" s="293" t="s">
        <v>93</v>
      </c>
    </row>
    <row r="58" spans="2:7" x14ac:dyDescent="0.25">
      <c r="B58" s="213" t="s">
        <v>223</v>
      </c>
      <c r="C58" s="780" t="s">
        <v>158</v>
      </c>
      <c r="D58" s="776">
        <v>0</v>
      </c>
      <c r="E58" s="225">
        <f>SUM(D58)/D60*100</f>
        <v>0</v>
      </c>
      <c r="F58" s="215">
        <v>0</v>
      </c>
      <c r="G58" s="225">
        <f>SUM(F58)/F60*100</f>
        <v>0</v>
      </c>
    </row>
    <row r="59" spans="2:7" ht="15.75" thickBot="1" x14ac:dyDescent="0.3">
      <c r="B59" s="216" t="s">
        <v>224</v>
      </c>
      <c r="C59" s="781" t="s">
        <v>159</v>
      </c>
      <c r="D59" s="777">
        <f>SUM(D5,D10,D17,D23,D28,D33,D37,D43,D47,D54)</f>
        <v>23630</v>
      </c>
      <c r="E59" s="228">
        <f>SUM(E5,E10,E17,E23,E28,E33,E37,E43,E47,E54)</f>
        <v>100</v>
      </c>
      <c r="F59" s="218">
        <f>SUM(F5,F10,F17,F23,F28,F33,F37,F43,F47,F54)</f>
        <v>21117</v>
      </c>
      <c r="G59" s="228">
        <f>SUM(G5,G10,G17,G23,G28,G33,G37,G43,G47,G54)</f>
        <v>99.999999999999986</v>
      </c>
    </row>
    <row r="60" spans="2:7" ht="19.5" thickBot="1" x14ac:dyDescent="0.3">
      <c r="B60" s="901" t="s">
        <v>50</v>
      </c>
      <c r="C60" s="902" t="s">
        <v>160</v>
      </c>
      <c r="D60" s="903">
        <f>SUM(D58:D59)</f>
        <v>23630</v>
      </c>
      <c r="E60" s="902" t="s">
        <v>93</v>
      </c>
      <c r="F60" s="904">
        <f>SUM(F58:F59)</f>
        <v>21117</v>
      </c>
      <c r="G60" s="902" t="s">
        <v>93</v>
      </c>
    </row>
    <row r="61" spans="2:7" x14ac:dyDescent="0.25">
      <c r="B61" s="195" t="s">
        <v>381</v>
      </c>
      <c r="C61" s="195"/>
      <c r="D61" s="195"/>
      <c r="E61" s="195"/>
    </row>
    <row r="62" spans="2:7" x14ac:dyDescent="0.25">
      <c r="B62" s="11" t="s">
        <v>378</v>
      </c>
      <c r="C62" s="11"/>
      <c r="D62" s="11"/>
      <c r="E62" s="11"/>
    </row>
    <row r="63" spans="2:7" x14ac:dyDescent="0.25">
      <c r="B63" s="11" t="s">
        <v>382</v>
      </c>
      <c r="C63" s="11"/>
      <c r="D63" s="11"/>
      <c r="E63" s="11"/>
    </row>
  </sheetData>
  <printOptions horizontalCentered="1"/>
  <pageMargins left="0" right="0" top="0.6692913385826772" bottom="0" header="0" footer="0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  <pageSetUpPr fitToPage="1"/>
  </sheetPr>
  <dimension ref="B1:V47"/>
  <sheetViews>
    <sheetView zoomScale="50" zoomScaleNormal="50" workbookViewId="0">
      <selection activeCell="B1" sqref="B1"/>
    </sheetView>
  </sheetViews>
  <sheetFormatPr defaultRowHeight="15" x14ac:dyDescent="0.25"/>
  <cols>
    <col min="1" max="1" width="2.5703125" style="77" customWidth="1"/>
    <col min="2" max="2" width="83.42578125" style="295" customWidth="1"/>
    <col min="3" max="3" width="18" style="77" customWidth="1"/>
    <col min="4" max="4" width="18.5703125" style="77" customWidth="1"/>
    <col min="5" max="5" width="4" style="460" customWidth="1"/>
    <col min="6" max="6" width="15.85546875" style="77" customWidth="1"/>
    <col min="7" max="7" width="16.5703125" style="77" customWidth="1"/>
    <col min="8" max="8" width="17" style="77" customWidth="1"/>
    <col min="9" max="9" width="3.28515625" style="460" customWidth="1"/>
    <col min="10" max="10" width="17.140625" style="77" customWidth="1"/>
    <col min="11" max="11" width="16.7109375" style="77" customWidth="1"/>
    <col min="12" max="12" width="17" style="77" customWidth="1"/>
    <col min="13" max="13" width="3.42578125" style="77" customWidth="1"/>
    <col min="14" max="14" width="17.5703125" style="77" customWidth="1"/>
    <col min="15" max="15" width="14.7109375" style="77" customWidth="1"/>
    <col min="16" max="16" width="15.42578125" style="77" customWidth="1"/>
    <col min="17" max="16384" width="9.140625" style="77"/>
  </cols>
  <sheetData>
    <row r="1" spans="2:22" x14ac:dyDescent="0.25">
      <c r="B1" s="11" t="s">
        <v>583</v>
      </c>
      <c r="C1" s="1"/>
      <c r="V1" s="11"/>
    </row>
    <row r="2" spans="2:22" ht="12.75" customHeight="1" x14ac:dyDescent="0.25">
      <c r="B2" s="11" t="s">
        <v>586</v>
      </c>
      <c r="C2" s="1"/>
    </row>
    <row r="3" spans="2:22" ht="15.75" customHeight="1" x14ac:dyDescent="0.25">
      <c r="B3" s="373" t="s">
        <v>584</v>
      </c>
    </row>
    <row r="4" spans="2:22" ht="15" customHeight="1" x14ac:dyDescent="0.25">
      <c r="B4" s="373" t="s">
        <v>587</v>
      </c>
    </row>
    <row r="5" spans="2:22" ht="18" customHeight="1" thickBot="1" x14ac:dyDescent="0.3">
      <c r="B5" s="373" t="s">
        <v>585</v>
      </c>
    </row>
    <row r="6" spans="2:22" ht="48" customHeight="1" thickBot="1" x14ac:dyDescent="0.3">
      <c r="B6" s="1157" t="s">
        <v>140</v>
      </c>
      <c r="C6" s="946" t="s">
        <v>443</v>
      </c>
      <c r="D6" s="947" t="s">
        <v>521</v>
      </c>
      <c r="E6" s="379"/>
      <c r="F6" s="1160" t="s">
        <v>519</v>
      </c>
      <c r="G6" s="1161"/>
      <c r="H6" s="1162"/>
      <c r="I6" s="379"/>
      <c r="J6" s="1160" t="s">
        <v>520</v>
      </c>
      <c r="K6" s="1161"/>
      <c r="L6" s="1162"/>
    </row>
    <row r="7" spans="2:22" ht="71.25" customHeight="1" thickBot="1" x14ac:dyDescent="0.3">
      <c r="B7" s="1158"/>
      <c r="C7" s="1163" t="s">
        <v>396</v>
      </c>
      <c r="D7" s="1164"/>
      <c r="E7" s="379"/>
      <c r="F7" s="1163" t="s">
        <v>397</v>
      </c>
      <c r="G7" s="1165"/>
      <c r="H7" s="1164"/>
      <c r="I7" s="461"/>
      <c r="J7" s="1163" t="s">
        <v>397</v>
      </c>
      <c r="K7" s="1165"/>
      <c r="L7" s="1164"/>
      <c r="Q7" s="972"/>
    </row>
    <row r="8" spans="2:22" ht="134.25" customHeight="1" thickBot="1" x14ac:dyDescent="0.3">
      <c r="B8" s="1159"/>
      <c r="C8" s="949" t="s">
        <v>162</v>
      </c>
      <c r="D8" s="948" t="s">
        <v>162</v>
      </c>
      <c r="E8" s="379"/>
      <c r="F8" s="949" t="s">
        <v>341</v>
      </c>
      <c r="G8" s="950" t="s">
        <v>398</v>
      </c>
      <c r="H8" s="948" t="s">
        <v>399</v>
      </c>
      <c r="I8" s="379"/>
      <c r="J8" s="949" t="s">
        <v>341</v>
      </c>
      <c r="K8" s="950" t="s">
        <v>398</v>
      </c>
      <c r="L8" s="948" t="s">
        <v>399</v>
      </c>
    </row>
    <row r="9" spans="2:22" ht="42" customHeight="1" thickBot="1" x14ac:dyDescent="0.3">
      <c r="B9" s="374" t="s">
        <v>4</v>
      </c>
      <c r="C9" s="375">
        <f>C10+C11+C25</f>
        <v>220.39999999999998</v>
      </c>
      <c r="D9" s="462">
        <f>D10+D11+D25</f>
        <v>249.55999999999997</v>
      </c>
      <c r="E9" s="463"/>
      <c r="F9" s="508">
        <f>SUM(F10+F12+F22+F25)</f>
        <v>100.00000000000003</v>
      </c>
      <c r="G9" s="464" t="s">
        <v>93</v>
      </c>
      <c r="H9" s="376" t="s">
        <v>93</v>
      </c>
      <c r="I9" s="465"/>
      <c r="J9" s="466">
        <f>SUM(J10+J12+J22+J25)</f>
        <v>100</v>
      </c>
      <c r="K9" s="464" t="s">
        <v>93</v>
      </c>
      <c r="L9" s="376" t="s">
        <v>93</v>
      </c>
    </row>
    <row r="10" spans="2:22" ht="30" customHeight="1" x14ac:dyDescent="0.25">
      <c r="B10" s="782" t="s">
        <v>11</v>
      </c>
      <c r="C10" s="783">
        <v>86.96</v>
      </c>
      <c r="D10" s="784">
        <v>103.1</v>
      </c>
      <c r="E10" s="467"/>
      <c r="F10" s="785">
        <f>C10*100/C9</f>
        <v>39.455535390199643</v>
      </c>
      <c r="G10" s="786" t="s">
        <v>93</v>
      </c>
      <c r="H10" s="787" t="s">
        <v>93</v>
      </c>
      <c r="I10" s="468"/>
      <c r="J10" s="785">
        <f>D10*100/D9</f>
        <v>41.312710370251651</v>
      </c>
      <c r="K10" s="786" t="s">
        <v>93</v>
      </c>
      <c r="L10" s="787" t="s">
        <v>93</v>
      </c>
    </row>
    <row r="11" spans="2:22" ht="56.25" customHeight="1" thickBot="1" x14ac:dyDescent="0.3">
      <c r="B11" s="469" t="s">
        <v>400</v>
      </c>
      <c r="C11" s="384">
        <f>C14+C15+C16+C17+C18+C19+C20+C21+C22</f>
        <v>117.49000000000001</v>
      </c>
      <c r="D11" s="470">
        <f>D14+D15+D16+D17+D18+D19+D20+D21+D22</f>
        <v>126.60999999999999</v>
      </c>
      <c r="E11" s="377"/>
      <c r="F11" s="471">
        <f>SUM(C11*100)/C9</f>
        <v>53.307622504537214</v>
      </c>
      <c r="G11" s="472" t="s">
        <v>93</v>
      </c>
      <c r="H11" s="473">
        <f>SUM(H22)+H12</f>
        <v>100</v>
      </c>
      <c r="I11" s="474"/>
      <c r="J11" s="475">
        <f>SUM(D11*100)/D9</f>
        <v>50.733290591440934</v>
      </c>
      <c r="K11" s="472" t="s">
        <v>93</v>
      </c>
      <c r="L11" s="476">
        <f>SUM(L22)+L12</f>
        <v>100</v>
      </c>
    </row>
    <row r="12" spans="2:22" ht="48" customHeight="1" thickBot="1" x14ac:dyDescent="0.3">
      <c r="B12" s="793" t="s">
        <v>401</v>
      </c>
      <c r="C12" s="792">
        <f>C14+C15+C16+C17+C18+C19+C20+C21</f>
        <v>117.44000000000001</v>
      </c>
      <c r="D12" s="791">
        <f>D14+D15+D16+D17+D18+D19+D20+D21</f>
        <v>126.60999999999999</v>
      </c>
      <c r="E12" s="377"/>
      <c r="F12" s="790">
        <f>C12*100/C9</f>
        <v>53.284936479128874</v>
      </c>
      <c r="G12" s="789">
        <f>SUM(G14:G21)</f>
        <v>99.999999999999986</v>
      </c>
      <c r="H12" s="788">
        <f>SUM(C12/C11*100)</f>
        <v>99.957443186654189</v>
      </c>
      <c r="I12" s="474"/>
      <c r="J12" s="790">
        <f>D12*100/D9</f>
        <v>50.733290591440934</v>
      </c>
      <c r="K12" s="789">
        <f>SUM(K14:K21)</f>
        <v>100.00000000000001</v>
      </c>
      <c r="L12" s="788">
        <f>SUM(D12/D11*100)</f>
        <v>100</v>
      </c>
    </row>
    <row r="13" spans="2:22" ht="25.5" customHeight="1" thickBot="1" x14ac:dyDescent="0.3">
      <c r="B13" s="477" t="s">
        <v>242</v>
      </c>
      <c r="C13" s="478"/>
      <c r="D13" s="479"/>
      <c r="E13" s="379"/>
      <c r="F13" s="1154" t="s">
        <v>242</v>
      </c>
      <c r="G13" s="1155"/>
      <c r="H13" s="1156"/>
      <c r="I13" s="378"/>
      <c r="J13" s="1154" t="s">
        <v>242</v>
      </c>
      <c r="K13" s="1155"/>
      <c r="L13" s="1156"/>
      <c r="N13" s="507" t="str">
        <f>IF(C9=N15,"sumuje się do grand total","fausz")</f>
        <v>sumuje się do grand total</v>
      </c>
      <c r="O13" s="507" t="str">
        <f>IF(D9=O15,"sumuje się do grand total","fausz")</f>
        <v>sumuje się do grand total</v>
      </c>
    </row>
    <row r="14" spans="2:22" ht="30" customHeight="1" x14ac:dyDescent="0.25">
      <c r="B14" s="380" t="s">
        <v>402</v>
      </c>
      <c r="C14" s="560">
        <v>28.34</v>
      </c>
      <c r="D14" s="602">
        <v>23.87</v>
      </c>
      <c r="E14" s="467"/>
      <c r="F14" s="480">
        <f>C14*100/C9</f>
        <v>12.858439201451906</v>
      </c>
      <c r="G14" s="481">
        <f>C14/C12*100</f>
        <v>24.131471389645771</v>
      </c>
      <c r="H14" s="482">
        <f>SUM(C14)/C11*100</f>
        <v>24.121201804408884</v>
      </c>
      <c r="I14" s="474"/>
      <c r="J14" s="480">
        <f>D14*100/D9</f>
        <v>9.5648341080301336</v>
      </c>
      <c r="K14" s="481">
        <f>SUM(D14)/D12*100</f>
        <v>18.853171155516947</v>
      </c>
      <c r="L14" s="483">
        <f>SUM(D14)/D11*100</f>
        <v>18.853171155516947</v>
      </c>
      <c r="N14" s="809" t="str">
        <f>T(C6)</f>
        <v>w I półroczu 2023 roku</v>
      </c>
      <c r="O14" s="809" t="str">
        <f>T(D6)</f>
        <v>w I półroczu 2024 roku</v>
      </c>
    </row>
    <row r="15" spans="2:22" ht="32.25" customHeight="1" x14ac:dyDescent="0.25">
      <c r="B15" s="381" t="s">
        <v>403</v>
      </c>
      <c r="C15" s="559">
        <v>1.91</v>
      </c>
      <c r="D15" s="603">
        <v>1.87</v>
      </c>
      <c r="E15" s="379"/>
      <c r="F15" s="484">
        <f>C15*100/C9</f>
        <v>0.86660617059891121</v>
      </c>
      <c r="G15" s="485">
        <f>C15/C12*100</f>
        <v>1.6263623978201631</v>
      </c>
      <c r="H15" s="486">
        <f>SUM(C15)/C11*100</f>
        <v>1.6256702698101964</v>
      </c>
      <c r="I15" s="474"/>
      <c r="J15" s="484">
        <f>D15*100/D9</f>
        <v>0.74931880108991833</v>
      </c>
      <c r="K15" s="485">
        <f>SUM(D15)/D12*100</f>
        <v>1.4769765421372723</v>
      </c>
      <c r="L15" s="487">
        <f>SUM(D15)/D11*100</f>
        <v>1.4769765421372723</v>
      </c>
      <c r="N15" s="502">
        <f>SUM(C10+C11+C25)</f>
        <v>220.39999999999998</v>
      </c>
      <c r="O15" s="502">
        <f>SUM(D10+D11+D25)</f>
        <v>249.55999999999997</v>
      </c>
    </row>
    <row r="16" spans="2:22" ht="39" customHeight="1" x14ac:dyDescent="0.25">
      <c r="B16" s="382" t="s">
        <v>404</v>
      </c>
      <c r="C16" s="559">
        <v>11.61</v>
      </c>
      <c r="D16" s="604">
        <v>10.6</v>
      </c>
      <c r="E16" s="488"/>
      <c r="F16" s="484">
        <f>C16*100/C9</f>
        <v>5.2676950998185124</v>
      </c>
      <c r="G16" s="485">
        <f>C16/C12*100</f>
        <v>9.885899182561305</v>
      </c>
      <c r="H16" s="486">
        <f>SUM(C16)/C11*100</f>
        <v>9.8816920588986275</v>
      </c>
      <c r="I16" s="474"/>
      <c r="J16" s="484">
        <f>D16*100/D9</f>
        <v>4.2474755569802856</v>
      </c>
      <c r="K16" s="485">
        <f>SUM(D16)/D12*100</f>
        <v>8.3721664955374777</v>
      </c>
      <c r="L16" s="487">
        <f>SUM(D16)/D11*100</f>
        <v>8.3721664955374777</v>
      </c>
      <c r="N16" s="502">
        <f>SUM(F10+F11+F25)</f>
        <v>100.00000000000001</v>
      </c>
      <c r="O16" s="502">
        <f>SUM(J10+J11+J25)</f>
        <v>100</v>
      </c>
    </row>
    <row r="17" spans="2:15" ht="30" customHeight="1" x14ac:dyDescent="0.25">
      <c r="B17" s="382" t="s">
        <v>405</v>
      </c>
      <c r="C17" s="559">
        <v>12.08</v>
      </c>
      <c r="D17" s="605">
        <v>12.66</v>
      </c>
      <c r="E17" s="379"/>
      <c r="F17" s="484">
        <f>C17*100/C9</f>
        <v>5.4809437386569879</v>
      </c>
      <c r="G17" s="485">
        <f>C17/C12*100</f>
        <v>10.286103542234331</v>
      </c>
      <c r="H17" s="486">
        <f>SUM(C17)/C11*100</f>
        <v>10.281726104349305</v>
      </c>
      <c r="I17" s="474"/>
      <c r="J17" s="484">
        <f>D17*100/D9</f>
        <v>5.0729283539028698</v>
      </c>
      <c r="K17" s="485">
        <f>SUM(D17)/D12*100</f>
        <v>9.9992101729721199</v>
      </c>
      <c r="L17" s="487">
        <f>SUM(D17)/D11*100</f>
        <v>9.9992101729721199</v>
      </c>
      <c r="N17" s="503">
        <f>SUM(F14:F21)</f>
        <v>53.284936479128874</v>
      </c>
      <c r="O17" s="503">
        <f>SUM(J14:J21)</f>
        <v>50.733290591440941</v>
      </c>
    </row>
    <row r="18" spans="2:15" ht="36" customHeight="1" x14ac:dyDescent="0.25">
      <c r="B18" s="382" t="s">
        <v>406</v>
      </c>
      <c r="C18" s="558">
        <v>33.03</v>
      </c>
      <c r="D18" s="605">
        <v>36.39</v>
      </c>
      <c r="E18" s="379"/>
      <c r="F18" s="484">
        <f>C18*100/C9</f>
        <v>14.986388384754992</v>
      </c>
      <c r="G18" s="485">
        <f>C18/C12*100</f>
        <v>28.125</v>
      </c>
      <c r="H18" s="486">
        <f>SUM(C18)/C11*100</f>
        <v>28.113030896246489</v>
      </c>
      <c r="I18" s="474"/>
      <c r="J18" s="484">
        <f>D18*100/D9</f>
        <v>14.581663728161566</v>
      </c>
      <c r="K18" s="485">
        <f>SUM(D18)/D12*100</f>
        <v>28.741805544585741</v>
      </c>
      <c r="L18" s="487">
        <f>SUM(D18)/D11*100</f>
        <v>28.741805544585741</v>
      </c>
      <c r="N18" s="503">
        <f>SUM(G14:G21)</f>
        <v>99.999999999999986</v>
      </c>
      <c r="O18" s="503">
        <f>SUM(K14:K21)</f>
        <v>100.00000000000001</v>
      </c>
    </row>
    <row r="19" spans="2:15" ht="47.25" customHeight="1" x14ac:dyDescent="0.25">
      <c r="B19" s="382" t="s">
        <v>407</v>
      </c>
      <c r="C19" s="559">
        <v>14.76</v>
      </c>
      <c r="D19" s="605">
        <v>24.16</v>
      </c>
      <c r="E19" s="379"/>
      <c r="F19" s="484">
        <f>C19*100/C9</f>
        <v>6.6969147005444656</v>
      </c>
      <c r="G19" s="485">
        <f>C19/C12*100</f>
        <v>12.568119891008173</v>
      </c>
      <c r="H19" s="486">
        <f>SUM(C19)/C11*100</f>
        <v>12.562771299685076</v>
      </c>
      <c r="I19" s="474"/>
      <c r="J19" s="484">
        <f>D19*100/D9</f>
        <v>9.6810386279852558</v>
      </c>
      <c r="K19" s="485">
        <f>SUM(D19)/D12*100</f>
        <v>19.082220993602402</v>
      </c>
      <c r="L19" s="487">
        <f>SUM(D19)/D11*100</f>
        <v>19.082220993602402</v>
      </c>
      <c r="N19" s="504">
        <f>SUM(H14:H21)</f>
        <v>99.957443186654174</v>
      </c>
      <c r="O19" s="505">
        <f>SUM(L14:L21)</f>
        <v>100.00000000000001</v>
      </c>
    </row>
    <row r="20" spans="2:15" ht="33" customHeight="1" x14ac:dyDescent="0.25">
      <c r="B20" s="382" t="s">
        <v>408</v>
      </c>
      <c r="C20" s="558">
        <v>1.01</v>
      </c>
      <c r="D20" s="605">
        <v>0.99</v>
      </c>
      <c r="E20" s="379"/>
      <c r="F20" s="484">
        <f>C20*100/C9</f>
        <v>0.4582577132486389</v>
      </c>
      <c r="G20" s="485">
        <f>C20/C12*100</f>
        <v>0.86001362397820147</v>
      </c>
      <c r="H20" s="486">
        <f>SUM(C20)/C11*100</f>
        <v>0.85964762958549656</v>
      </c>
      <c r="I20" s="474"/>
      <c r="J20" s="484">
        <f>D20*100/D9</f>
        <v>0.39669818881230973</v>
      </c>
      <c r="K20" s="485">
        <f>SUM(D20)/D12*100</f>
        <v>0.78192875760208524</v>
      </c>
      <c r="L20" s="487">
        <f>SUM(D20)/D11*100</f>
        <v>0.78192875760208524</v>
      </c>
      <c r="N20" s="506">
        <f>SUM(H23:H24)</f>
        <v>4.2556813345816666E-2</v>
      </c>
      <c r="O20" s="503">
        <f>SUM(L23:L24)</f>
        <v>0</v>
      </c>
    </row>
    <row r="21" spans="2:15" ht="37.5" customHeight="1" thickBot="1" x14ac:dyDescent="0.3">
      <c r="B21" s="383" t="s">
        <v>409</v>
      </c>
      <c r="C21" s="559">
        <v>14.7</v>
      </c>
      <c r="D21" s="603">
        <v>16.07</v>
      </c>
      <c r="E21" s="467"/>
      <c r="F21" s="484">
        <f>C21*100/C9</f>
        <v>6.6696914700544472</v>
      </c>
      <c r="G21" s="485">
        <f>C21/C12*100</f>
        <v>12.517029972752042</v>
      </c>
      <c r="H21" s="486">
        <f>SUM(C21)/C11*100</f>
        <v>12.511703123670099</v>
      </c>
      <c r="I21" s="474"/>
      <c r="J21" s="484">
        <f>D21*100/D9</f>
        <v>6.4393332264786034</v>
      </c>
      <c r="K21" s="485">
        <f>SUM(D21)/D12*100</f>
        <v>12.69252033804597</v>
      </c>
      <c r="L21" s="487">
        <f>SUM(D21)/D11*100</f>
        <v>12.69252033804597</v>
      </c>
    </row>
    <row r="22" spans="2:15" ht="51" customHeight="1" x14ac:dyDescent="0.25">
      <c r="B22" s="794" t="s">
        <v>410</v>
      </c>
      <c r="C22" s="795">
        <f>SUM(C23+C24)</f>
        <v>0.05</v>
      </c>
      <c r="D22" s="796">
        <f>SUM(D23+D24)</f>
        <v>0</v>
      </c>
      <c r="E22" s="489"/>
      <c r="F22" s="797">
        <f>SUM(C22/C9)*100</f>
        <v>2.2686025408348461E-2</v>
      </c>
      <c r="G22" s="798" t="s">
        <v>93</v>
      </c>
      <c r="H22" s="799">
        <f>SUM(C22)/C11*100</f>
        <v>4.2556813345816666E-2</v>
      </c>
      <c r="I22" s="468"/>
      <c r="J22" s="800">
        <f>SUM(D22/D9)*100</f>
        <v>0</v>
      </c>
      <c r="K22" s="801" t="s">
        <v>93</v>
      </c>
      <c r="L22" s="802">
        <f>SUM(D22)/D11*100</f>
        <v>0</v>
      </c>
      <c r="N22" s="490">
        <f>SUM(C12/C9)*100</f>
        <v>53.284936479128866</v>
      </c>
      <c r="O22" s="490">
        <f>SUM(D12/D9)*100</f>
        <v>50.733290591440941</v>
      </c>
    </row>
    <row r="23" spans="2:15" ht="71.25" customHeight="1" x14ac:dyDescent="0.25">
      <c r="B23" s="491" t="s">
        <v>411</v>
      </c>
      <c r="C23" s="558">
        <v>0.05</v>
      </c>
      <c r="D23" s="603">
        <v>0</v>
      </c>
      <c r="E23" s="467"/>
      <c r="F23" s="492">
        <f>C23*100/C9</f>
        <v>2.2686025408348461E-2</v>
      </c>
      <c r="G23" s="493" t="s">
        <v>93</v>
      </c>
      <c r="H23" s="494">
        <f>SUM(C23)/C11*100</f>
        <v>4.2556813345816666E-2</v>
      </c>
      <c r="I23" s="468"/>
      <c r="J23" s="607">
        <f>D23*100/D9</f>
        <v>0</v>
      </c>
      <c r="K23" s="495" t="s">
        <v>93</v>
      </c>
      <c r="L23" s="487">
        <f>SUM(D23)/D11*100</f>
        <v>0</v>
      </c>
      <c r="N23" s="490">
        <f>SUM(C22/C9)*100</f>
        <v>2.2686025408348461E-2</v>
      </c>
      <c r="O23" s="490">
        <f>SUM(D22/D9)*100</f>
        <v>0</v>
      </c>
    </row>
    <row r="24" spans="2:15" ht="66.75" customHeight="1" thickBot="1" x14ac:dyDescent="0.3">
      <c r="B24" s="496" t="s">
        <v>412</v>
      </c>
      <c r="C24" s="384">
        <v>0</v>
      </c>
      <c r="D24" s="606">
        <v>0</v>
      </c>
      <c r="E24" s="467"/>
      <c r="F24" s="497">
        <f>C24*100/C9</f>
        <v>0</v>
      </c>
      <c r="G24" s="498" t="s">
        <v>93</v>
      </c>
      <c r="H24" s="499">
        <f>SUM(C24)/C11*100</f>
        <v>0</v>
      </c>
      <c r="I24" s="468"/>
      <c r="J24" s="608">
        <f>D24*100/D9</f>
        <v>0</v>
      </c>
      <c r="K24" s="498" t="s">
        <v>93</v>
      </c>
      <c r="L24" s="500">
        <f>SUM(D24)/D11*100</f>
        <v>0</v>
      </c>
      <c r="N24" s="490">
        <f>SUM(N22:N23)</f>
        <v>53.307622504537214</v>
      </c>
      <c r="O24" s="490">
        <f>SUM(O22:O23)</f>
        <v>50.733290591440941</v>
      </c>
    </row>
    <row r="25" spans="2:15" ht="39.75" customHeight="1" thickBot="1" x14ac:dyDescent="0.3">
      <c r="B25" s="808" t="s">
        <v>12</v>
      </c>
      <c r="C25" s="807">
        <v>15.95</v>
      </c>
      <c r="D25" s="806">
        <v>19.850000000000001</v>
      </c>
      <c r="E25" s="379"/>
      <c r="F25" s="805">
        <f>C25*100/C9</f>
        <v>7.2368421052631584</v>
      </c>
      <c r="G25" s="804" t="s">
        <v>93</v>
      </c>
      <c r="H25" s="803" t="s">
        <v>93</v>
      </c>
      <c r="I25" s="468"/>
      <c r="J25" s="805">
        <f>D25*100/D9</f>
        <v>7.9539990383074226</v>
      </c>
      <c r="K25" s="804" t="s">
        <v>93</v>
      </c>
      <c r="L25" s="803" t="s">
        <v>93</v>
      </c>
    </row>
    <row r="26" spans="2:15" ht="22.5" x14ac:dyDescent="0.3">
      <c r="B26" s="519" t="s">
        <v>420</v>
      </c>
      <c r="C26" s="520"/>
      <c r="D26" s="520"/>
      <c r="E26" s="521"/>
      <c r="F26" s="520"/>
      <c r="G26" s="520"/>
      <c r="H26" s="520"/>
      <c r="I26" s="521"/>
      <c r="J26" s="520"/>
      <c r="K26" s="520"/>
      <c r="L26" s="520"/>
    </row>
    <row r="27" spans="2:15" ht="22.5" x14ac:dyDescent="0.3">
      <c r="B27" s="519" t="s">
        <v>588</v>
      </c>
      <c r="C27" s="520"/>
      <c r="D27" s="520"/>
      <c r="E27" s="521"/>
      <c r="F27" s="520"/>
      <c r="G27" s="520"/>
      <c r="H27" s="520"/>
      <c r="I27" s="521"/>
      <c r="J27" s="520"/>
      <c r="K27" s="520"/>
      <c r="L27" s="520"/>
    </row>
    <row r="28" spans="2:15" ht="18.75" x14ac:dyDescent="0.3">
      <c r="B28" s="519" t="s">
        <v>589</v>
      </c>
      <c r="C28" s="520"/>
      <c r="D28" s="520"/>
      <c r="E28" s="521"/>
      <c r="F28" s="520"/>
      <c r="G28" s="520"/>
      <c r="H28" s="520"/>
      <c r="I28" s="521"/>
      <c r="J28" s="520"/>
      <c r="K28" s="520"/>
      <c r="L28" s="520"/>
    </row>
    <row r="29" spans="2:15" ht="18.75" x14ac:dyDescent="0.3">
      <c r="B29" s="522" t="s">
        <v>288</v>
      </c>
      <c r="C29" s="520"/>
      <c r="D29" s="520"/>
      <c r="E29" s="521"/>
      <c r="F29" s="520"/>
      <c r="G29" s="520"/>
      <c r="H29" s="520"/>
      <c r="I29" s="521"/>
      <c r="J29" s="520"/>
      <c r="K29" s="520"/>
      <c r="L29" s="520"/>
    </row>
    <row r="30" spans="2:15" ht="18.75" x14ac:dyDescent="0.3">
      <c r="B30" s="522" t="s">
        <v>413</v>
      </c>
      <c r="C30" s="520"/>
      <c r="D30" s="520"/>
      <c r="E30" s="521"/>
      <c r="F30" s="520"/>
      <c r="G30" s="520"/>
      <c r="H30" s="520"/>
      <c r="I30" s="521"/>
      <c r="J30" s="520"/>
      <c r="K30" s="520"/>
      <c r="L30" s="520"/>
    </row>
    <row r="31" spans="2:15" ht="18.75" x14ac:dyDescent="0.3">
      <c r="B31" s="519" t="s">
        <v>163</v>
      </c>
      <c r="C31" s="520"/>
      <c r="D31" s="520"/>
      <c r="E31" s="521"/>
      <c r="F31" s="520"/>
      <c r="G31" s="520"/>
      <c r="H31" s="520"/>
      <c r="I31" s="521"/>
      <c r="J31" s="520"/>
      <c r="K31" s="520"/>
      <c r="L31" s="520"/>
    </row>
    <row r="32" spans="2:15" ht="18.75" x14ac:dyDescent="0.3">
      <c r="B32" s="519" t="s">
        <v>245</v>
      </c>
      <c r="C32" s="520"/>
      <c r="D32" s="520"/>
      <c r="E32" s="520"/>
      <c r="F32" s="520"/>
      <c r="G32" s="520"/>
      <c r="H32" s="520"/>
      <c r="I32" s="520"/>
      <c r="J32" s="520"/>
      <c r="K32" s="520"/>
      <c r="L32" s="520"/>
    </row>
    <row r="33" spans="2:12" ht="18.75" x14ac:dyDescent="0.3">
      <c r="B33" s="523" t="s">
        <v>246</v>
      </c>
      <c r="C33" s="520"/>
      <c r="D33" s="520"/>
      <c r="E33" s="520"/>
      <c r="F33" s="520"/>
      <c r="G33" s="520"/>
      <c r="H33" s="520"/>
      <c r="I33" s="520"/>
      <c r="J33" s="520"/>
      <c r="K33" s="520"/>
      <c r="L33" s="520"/>
    </row>
    <row r="34" spans="2:12" ht="18.75" x14ac:dyDescent="0.3">
      <c r="B34" s="519" t="s">
        <v>333</v>
      </c>
      <c r="C34" s="520"/>
      <c r="D34" s="520"/>
      <c r="E34" s="520"/>
      <c r="F34" s="520"/>
      <c r="G34" s="520"/>
      <c r="H34" s="520"/>
      <c r="I34" s="520"/>
      <c r="J34" s="520"/>
      <c r="K34" s="520"/>
      <c r="L34" s="520"/>
    </row>
    <row r="35" spans="2:12" ht="18.75" x14ac:dyDescent="0.3">
      <c r="B35" s="523" t="s">
        <v>332</v>
      </c>
      <c r="C35" s="520"/>
      <c r="D35" s="520"/>
      <c r="E35" s="520"/>
      <c r="F35" s="520"/>
      <c r="G35" s="520"/>
      <c r="H35" s="520"/>
      <c r="I35" s="520"/>
      <c r="J35" s="520"/>
      <c r="K35" s="520"/>
      <c r="L35" s="520"/>
    </row>
    <row r="36" spans="2:12" ht="18.75" x14ac:dyDescent="0.3">
      <c r="B36" s="523" t="s">
        <v>414</v>
      </c>
      <c r="C36" s="520"/>
      <c r="D36" s="520"/>
      <c r="E36" s="520"/>
      <c r="F36" s="520"/>
      <c r="G36" s="520"/>
      <c r="H36" s="520"/>
      <c r="I36" s="520"/>
      <c r="J36" s="520"/>
      <c r="K36" s="520"/>
      <c r="L36" s="520"/>
    </row>
    <row r="37" spans="2:12" ht="18.75" x14ac:dyDescent="0.3">
      <c r="B37" s="523" t="s">
        <v>415</v>
      </c>
      <c r="C37" s="520"/>
      <c r="D37" s="520"/>
      <c r="E37" s="520"/>
      <c r="F37" s="520"/>
      <c r="G37" s="520"/>
      <c r="H37" s="520"/>
      <c r="I37" s="520"/>
      <c r="J37" s="520"/>
      <c r="K37" s="520"/>
      <c r="L37" s="520"/>
    </row>
    <row r="38" spans="2:12" ht="18.75" x14ac:dyDescent="0.3">
      <c r="B38" s="523" t="s">
        <v>421</v>
      </c>
      <c r="C38" s="520"/>
      <c r="D38" s="520"/>
      <c r="E38" s="520"/>
      <c r="F38" s="520"/>
      <c r="G38" s="520"/>
      <c r="H38" s="520"/>
      <c r="I38" s="520"/>
      <c r="J38" s="520"/>
      <c r="K38" s="520"/>
      <c r="L38" s="520"/>
    </row>
    <row r="39" spans="2:12" ht="18.75" x14ac:dyDescent="0.3">
      <c r="B39" s="523" t="s">
        <v>416</v>
      </c>
      <c r="C39" s="520"/>
      <c r="D39" s="520"/>
      <c r="E39" s="520"/>
      <c r="F39" s="520"/>
      <c r="G39" s="520"/>
      <c r="H39" s="520"/>
      <c r="I39" s="520"/>
      <c r="J39" s="520"/>
      <c r="K39" s="520"/>
      <c r="L39" s="520"/>
    </row>
    <row r="40" spans="2:12" ht="18.75" x14ac:dyDescent="0.3">
      <c r="B40" s="523" t="s">
        <v>590</v>
      </c>
      <c r="C40" s="520"/>
      <c r="D40" s="520"/>
      <c r="E40" s="520"/>
      <c r="F40" s="520"/>
      <c r="G40" s="520"/>
      <c r="H40" s="520"/>
      <c r="I40" s="520"/>
      <c r="J40" s="520"/>
      <c r="K40" s="520"/>
      <c r="L40" s="520"/>
    </row>
    <row r="41" spans="2:12" ht="18" customHeight="1" x14ac:dyDescent="0.3">
      <c r="B41" s="519" t="s">
        <v>422</v>
      </c>
      <c r="C41" s="520"/>
      <c r="D41" s="520"/>
      <c r="E41" s="520"/>
      <c r="F41" s="520"/>
      <c r="G41" s="520"/>
      <c r="H41" s="520"/>
      <c r="I41" s="520"/>
      <c r="J41" s="520"/>
      <c r="K41" s="520"/>
      <c r="L41" s="520"/>
    </row>
    <row r="42" spans="2:12" ht="18.75" x14ac:dyDescent="0.3">
      <c r="B42" s="519" t="s">
        <v>417</v>
      </c>
      <c r="C42" s="520"/>
      <c r="D42" s="520"/>
      <c r="E42" s="520"/>
      <c r="F42" s="520"/>
      <c r="G42" s="520"/>
      <c r="H42" s="520"/>
      <c r="I42" s="520"/>
      <c r="J42" s="520"/>
      <c r="K42" s="520"/>
      <c r="L42" s="520"/>
    </row>
    <row r="43" spans="2:12" ht="18.75" x14ac:dyDescent="0.3">
      <c r="B43" s="519" t="s">
        <v>418</v>
      </c>
      <c r="C43" s="520"/>
      <c r="D43" s="520"/>
      <c r="E43" s="520"/>
      <c r="F43" s="520"/>
      <c r="G43" s="520"/>
      <c r="H43" s="520"/>
      <c r="I43" s="520"/>
      <c r="J43" s="520"/>
      <c r="K43" s="520"/>
      <c r="L43" s="520"/>
    </row>
    <row r="44" spans="2:12" x14ac:dyDescent="0.25">
      <c r="B44" s="11"/>
      <c r="E44" s="77"/>
      <c r="I44" s="77"/>
    </row>
    <row r="45" spans="2:12" x14ac:dyDescent="0.25">
      <c r="B45" s="135"/>
      <c r="E45" s="77"/>
      <c r="I45" s="77"/>
    </row>
    <row r="46" spans="2:12" x14ac:dyDescent="0.25">
      <c r="B46" s="501"/>
      <c r="E46" s="77"/>
      <c r="I46" s="77"/>
    </row>
    <row r="47" spans="2:12" x14ac:dyDescent="0.25">
      <c r="B47" s="501"/>
      <c r="E47" s="77"/>
      <c r="I47" s="77"/>
    </row>
  </sheetData>
  <mergeCells count="8">
    <mergeCell ref="F13:H13"/>
    <mergeCell ref="J13:L13"/>
    <mergeCell ref="B6:B8"/>
    <mergeCell ref="F6:H6"/>
    <mergeCell ref="J6:L6"/>
    <mergeCell ref="C7:D7"/>
    <mergeCell ref="F7:H7"/>
    <mergeCell ref="J7:L7"/>
  </mergeCells>
  <pageMargins left="0.7" right="0.7" top="0.75" bottom="0.75" header="0.3" footer="0.3"/>
  <pageSetup paperSize="9" scale="3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  <pageSetUpPr fitToPage="1"/>
  </sheetPr>
  <dimension ref="B1:R35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85546875" style="11" customWidth="1"/>
    <col min="2" max="2" width="23.7109375" style="11" customWidth="1"/>
    <col min="3" max="4" width="17.85546875" style="11" customWidth="1"/>
    <col min="5" max="6" width="18.85546875" style="11" customWidth="1"/>
    <col min="7" max="7" width="18.5703125" style="11" customWidth="1"/>
    <col min="8" max="8" width="18.42578125" style="11" customWidth="1"/>
    <col min="9" max="9" width="18" style="11" customWidth="1"/>
    <col min="10" max="10" width="2.85546875" style="11" customWidth="1"/>
    <col min="11" max="11" width="25.7109375" style="11" customWidth="1"/>
    <col min="12" max="12" width="19.140625" style="11" customWidth="1"/>
    <col min="13" max="13" width="17.140625" style="11" customWidth="1"/>
    <col min="14" max="15" width="17.28515625" style="11" customWidth="1"/>
    <col min="16" max="17" width="18" style="11" customWidth="1"/>
    <col min="18" max="18" width="16.5703125" style="11" customWidth="1"/>
    <col min="19" max="16384" width="9.140625" style="11"/>
  </cols>
  <sheetData>
    <row r="1" spans="2:18" ht="12" customHeight="1" x14ac:dyDescent="0.25"/>
    <row r="2" spans="2:18" x14ac:dyDescent="0.25">
      <c r="B2" s="11" t="s">
        <v>591</v>
      </c>
      <c r="K2" s="11" t="s">
        <v>561</v>
      </c>
    </row>
    <row r="3" spans="2:18" x14ac:dyDescent="0.25">
      <c r="B3" s="11" t="s">
        <v>311</v>
      </c>
      <c r="K3" s="11" t="s">
        <v>311</v>
      </c>
    </row>
    <row r="4" spans="2:18" ht="12.75" customHeight="1" thickBot="1" x14ac:dyDescent="0.3"/>
    <row r="5" spans="2:18" ht="25.5" customHeight="1" thickBot="1" x14ac:dyDescent="0.3">
      <c r="B5" s="977" t="s">
        <v>13</v>
      </c>
      <c r="C5" s="1166" t="s">
        <v>442</v>
      </c>
      <c r="D5" s="1167"/>
      <c r="E5" s="1167"/>
      <c r="F5" s="1167"/>
      <c r="G5" s="1167"/>
      <c r="H5" s="1167"/>
      <c r="I5" s="1168"/>
      <c r="K5" s="977" t="s">
        <v>13</v>
      </c>
      <c r="L5" s="1166" t="s">
        <v>500</v>
      </c>
      <c r="M5" s="1167"/>
      <c r="N5" s="1167"/>
      <c r="O5" s="1167"/>
      <c r="P5" s="1167"/>
      <c r="Q5" s="1167"/>
      <c r="R5" s="1168"/>
    </row>
    <row r="6" spans="2:18" ht="56.25" customHeight="1" x14ac:dyDescent="0.25">
      <c r="B6" s="1013"/>
      <c r="C6" s="1006" t="s">
        <v>43</v>
      </c>
      <c r="D6" s="1169"/>
      <c r="E6" s="824"/>
      <c r="F6" s="824"/>
      <c r="G6" s="824"/>
      <c r="H6" s="824"/>
      <c r="I6" s="824"/>
      <c r="K6" s="1013"/>
      <c r="L6" s="1006" t="s">
        <v>43</v>
      </c>
      <c r="M6" s="1169"/>
      <c r="N6" s="824"/>
      <c r="O6" s="824"/>
      <c r="P6" s="824"/>
      <c r="Q6" s="824"/>
      <c r="R6" s="824"/>
    </row>
    <row r="7" spans="2:18" ht="80.25" customHeight="1" x14ac:dyDescent="0.25">
      <c r="B7" s="1013"/>
      <c r="C7" s="1109" t="s">
        <v>40</v>
      </c>
      <c r="D7" s="1029" t="s">
        <v>41</v>
      </c>
      <c r="E7" s="831" t="s">
        <v>42</v>
      </c>
      <c r="F7" s="831" t="s">
        <v>501</v>
      </c>
      <c r="G7" s="831" t="s">
        <v>44</v>
      </c>
      <c r="H7" s="831" t="s">
        <v>45</v>
      </c>
      <c r="I7" s="831" t="s">
        <v>337</v>
      </c>
      <c r="K7" s="1013"/>
      <c r="L7" s="1109" t="s">
        <v>40</v>
      </c>
      <c r="M7" s="1029" t="s">
        <v>41</v>
      </c>
      <c r="N7" s="831" t="s">
        <v>42</v>
      </c>
      <c r="O7" s="831" t="s">
        <v>501</v>
      </c>
      <c r="P7" s="831" t="s">
        <v>44</v>
      </c>
      <c r="Q7" s="831" t="s">
        <v>45</v>
      </c>
      <c r="R7" s="831" t="s">
        <v>337</v>
      </c>
    </row>
    <row r="8" spans="2:18" ht="35.25" customHeight="1" thickBot="1" x14ac:dyDescent="0.3">
      <c r="B8" s="1013"/>
      <c r="C8" s="984"/>
      <c r="D8" s="1150"/>
      <c r="E8" s="831"/>
      <c r="F8" s="831"/>
      <c r="G8" s="831"/>
      <c r="H8" s="831"/>
      <c r="I8" s="831"/>
      <c r="K8" s="1013"/>
      <c r="L8" s="984"/>
      <c r="M8" s="1150"/>
      <c r="N8" s="831"/>
      <c r="O8" s="831"/>
      <c r="P8" s="831"/>
      <c r="Q8" s="831"/>
      <c r="R8" s="831"/>
    </row>
    <row r="9" spans="2:18" ht="24" customHeight="1" thickBot="1" x14ac:dyDescent="0.3">
      <c r="B9" s="690" t="s">
        <v>14</v>
      </c>
      <c r="C9" s="691">
        <f t="shared" ref="C9:I9" si="0">SUM(C10:C34)</f>
        <v>2031</v>
      </c>
      <c r="D9" s="692">
        <f t="shared" si="0"/>
        <v>1377</v>
      </c>
      <c r="E9" s="693">
        <f t="shared" si="0"/>
        <v>3927</v>
      </c>
      <c r="F9" s="693">
        <f>SUM(F10:F34)</f>
        <v>756</v>
      </c>
      <c r="G9" s="693">
        <f t="shared" si="0"/>
        <v>497</v>
      </c>
      <c r="H9" s="693">
        <f t="shared" si="0"/>
        <v>978</v>
      </c>
      <c r="I9" s="693">
        <f t="shared" si="0"/>
        <v>900</v>
      </c>
      <c r="K9" s="690" t="s">
        <v>14</v>
      </c>
      <c r="L9" s="691">
        <f t="shared" ref="L9:R9" si="1">SUM(L10:L34)</f>
        <v>1813</v>
      </c>
      <c r="M9" s="692">
        <f t="shared" si="1"/>
        <v>1192</v>
      </c>
      <c r="N9" s="693">
        <f t="shared" si="1"/>
        <v>3155</v>
      </c>
      <c r="O9" s="693">
        <f>SUM(O10:O34)</f>
        <v>912</v>
      </c>
      <c r="P9" s="693">
        <f t="shared" si="1"/>
        <v>482</v>
      </c>
      <c r="Q9" s="693">
        <f t="shared" si="1"/>
        <v>1032</v>
      </c>
      <c r="R9" s="693">
        <f t="shared" si="1"/>
        <v>1049</v>
      </c>
    </row>
    <row r="10" spans="2:18" x14ac:dyDescent="0.25">
      <c r="B10" s="53" t="s">
        <v>15</v>
      </c>
      <c r="C10" s="30">
        <v>55</v>
      </c>
      <c r="D10" s="180">
        <v>16</v>
      </c>
      <c r="E10" s="34">
        <v>99</v>
      </c>
      <c r="F10" s="34">
        <v>9</v>
      </c>
      <c r="G10" s="34">
        <v>6</v>
      </c>
      <c r="H10" s="34">
        <v>27</v>
      </c>
      <c r="I10" s="34">
        <v>28</v>
      </c>
      <c r="K10" s="53" t="s">
        <v>15</v>
      </c>
      <c r="L10" s="30">
        <v>33</v>
      </c>
      <c r="M10" s="180">
        <v>21</v>
      </c>
      <c r="N10" s="34">
        <v>70</v>
      </c>
      <c r="O10" s="34">
        <v>7</v>
      </c>
      <c r="P10" s="34">
        <v>5</v>
      </c>
      <c r="Q10" s="34">
        <v>16</v>
      </c>
      <c r="R10" s="34">
        <v>15</v>
      </c>
    </row>
    <row r="11" spans="2:18" x14ac:dyDescent="0.25">
      <c r="B11" s="12" t="s">
        <v>16</v>
      </c>
      <c r="C11" s="13">
        <v>79</v>
      </c>
      <c r="D11" s="141">
        <v>53</v>
      </c>
      <c r="E11" s="32">
        <v>156</v>
      </c>
      <c r="F11" s="32">
        <v>3</v>
      </c>
      <c r="G11" s="32">
        <v>5</v>
      </c>
      <c r="H11" s="32">
        <v>52</v>
      </c>
      <c r="I11" s="32">
        <v>32</v>
      </c>
      <c r="K11" s="12" t="s">
        <v>16</v>
      </c>
      <c r="L11" s="13">
        <v>96</v>
      </c>
      <c r="M11" s="141">
        <v>60</v>
      </c>
      <c r="N11" s="32">
        <v>138</v>
      </c>
      <c r="O11" s="32">
        <v>112</v>
      </c>
      <c r="P11" s="32">
        <v>7</v>
      </c>
      <c r="Q11" s="32">
        <v>82</v>
      </c>
      <c r="R11" s="32">
        <v>29</v>
      </c>
    </row>
    <row r="12" spans="2:18" x14ac:dyDescent="0.25">
      <c r="B12" s="12" t="s">
        <v>17</v>
      </c>
      <c r="C12" s="13">
        <v>116</v>
      </c>
      <c r="D12" s="141">
        <v>0</v>
      </c>
      <c r="E12" s="32">
        <v>115</v>
      </c>
      <c r="F12" s="32">
        <v>12</v>
      </c>
      <c r="G12" s="32">
        <v>11</v>
      </c>
      <c r="H12" s="32">
        <v>48</v>
      </c>
      <c r="I12" s="32">
        <v>40</v>
      </c>
      <c r="K12" s="12" t="s">
        <v>17</v>
      </c>
      <c r="L12" s="13">
        <v>94</v>
      </c>
      <c r="M12" s="141">
        <v>6</v>
      </c>
      <c r="N12" s="32">
        <v>107</v>
      </c>
      <c r="O12" s="32">
        <v>10</v>
      </c>
      <c r="P12" s="32">
        <v>12</v>
      </c>
      <c r="Q12" s="32">
        <v>49</v>
      </c>
      <c r="R12" s="32">
        <v>39</v>
      </c>
    </row>
    <row r="13" spans="2:18" x14ac:dyDescent="0.25">
      <c r="B13" s="12" t="s">
        <v>18</v>
      </c>
      <c r="C13" s="13">
        <v>113</v>
      </c>
      <c r="D13" s="141">
        <v>203</v>
      </c>
      <c r="E13" s="32">
        <v>259</v>
      </c>
      <c r="F13" s="32">
        <v>32</v>
      </c>
      <c r="G13" s="32">
        <v>0</v>
      </c>
      <c r="H13" s="32">
        <v>61</v>
      </c>
      <c r="I13" s="32">
        <v>86</v>
      </c>
      <c r="K13" s="12" t="s">
        <v>18</v>
      </c>
      <c r="L13" s="13">
        <v>78</v>
      </c>
      <c r="M13" s="141">
        <v>162</v>
      </c>
      <c r="N13" s="32">
        <v>190</v>
      </c>
      <c r="O13" s="32">
        <v>28</v>
      </c>
      <c r="P13" s="32">
        <v>0</v>
      </c>
      <c r="Q13" s="32">
        <v>84</v>
      </c>
      <c r="R13" s="32">
        <v>92</v>
      </c>
    </row>
    <row r="14" spans="2:18" x14ac:dyDescent="0.25">
      <c r="B14" s="12" t="s">
        <v>19</v>
      </c>
      <c r="C14" s="13">
        <v>114</v>
      </c>
      <c r="D14" s="141">
        <v>64</v>
      </c>
      <c r="E14" s="32">
        <v>200</v>
      </c>
      <c r="F14" s="32">
        <v>49</v>
      </c>
      <c r="G14" s="32">
        <v>47</v>
      </c>
      <c r="H14" s="32">
        <v>51</v>
      </c>
      <c r="I14" s="32">
        <v>88</v>
      </c>
      <c r="K14" s="12" t="s">
        <v>19</v>
      </c>
      <c r="L14" s="13">
        <v>100</v>
      </c>
      <c r="M14" s="141">
        <v>48</v>
      </c>
      <c r="N14" s="32">
        <v>211</v>
      </c>
      <c r="O14" s="32">
        <v>35</v>
      </c>
      <c r="P14" s="32">
        <v>54</v>
      </c>
      <c r="Q14" s="32">
        <v>59</v>
      </c>
      <c r="R14" s="32">
        <v>98</v>
      </c>
    </row>
    <row r="15" spans="2:18" x14ac:dyDescent="0.25">
      <c r="B15" s="12" t="s">
        <v>20</v>
      </c>
      <c r="C15" s="13">
        <v>63</v>
      </c>
      <c r="D15" s="141">
        <v>21</v>
      </c>
      <c r="E15" s="32">
        <v>104</v>
      </c>
      <c r="F15" s="32">
        <v>21</v>
      </c>
      <c r="G15" s="32">
        <v>5</v>
      </c>
      <c r="H15" s="32">
        <v>22</v>
      </c>
      <c r="I15" s="32">
        <v>24</v>
      </c>
      <c r="K15" s="12" t="s">
        <v>20</v>
      </c>
      <c r="L15" s="13">
        <v>50</v>
      </c>
      <c r="M15" s="141">
        <v>15</v>
      </c>
      <c r="N15" s="32">
        <v>90</v>
      </c>
      <c r="O15" s="32">
        <v>20</v>
      </c>
      <c r="P15" s="32">
        <v>0</v>
      </c>
      <c r="Q15" s="32">
        <v>11</v>
      </c>
      <c r="R15" s="32">
        <v>35</v>
      </c>
    </row>
    <row r="16" spans="2:18" x14ac:dyDescent="0.25">
      <c r="B16" s="12" t="s">
        <v>21</v>
      </c>
      <c r="C16" s="13">
        <v>31</v>
      </c>
      <c r="D16" s="141">
        <v>11</v>
      </c>
      <c r="E16" s="32">
        <v>83</v>
      </c>
      <c r="F16" s="32">
        <v>12</v>
      </c>
      <c r="G16" s="32">
        <v>28</v>
      </c>
      <c r="H16" s="32">
        <v>38</v>
      </c>
      <c r="I16" s="32">
        <v>46</v>
      </c>
      <c r="K16" s="12" t="s">
        <v>21</v>
      </c>
      <c r="L16" s="13">
        <v>38</v>
      </c>
      <c r="M16" s="141">
        <v>12</v>
      </c>
      <c r="N16" s="32">
        <v>93</v>
      </c>
      <c r="O16" s="32">
        <v>13</v>
      </c>
      <c r="P16" s="32">
        <v>23</v>
      </c>
      <c r="Q16" s="32">
        <v>32</v>
      </c>
      <c r="R16" s="32">
        <v>46</v>
      </c>
    </row>
    <row r="17" spans="2:18" x14ac:dyDescent="0.25">
      <c r="B17" s="12" t="s">
        <v>22</v>
      </c>
      <c r="C17" s="13">
        <v>26</v>
      </c>
      <c r="D17" s="141">
        <v>34</v>
      </c>
      <c r="E17" s="32">
        <v>49</v>
      </c>
      <c r="F17" s="32">
        <v>9</v>
      </c>
      <c r="G17" s="32">
        <v>0</v>
      </c>
      <c r="H17" s="32">
        <v>33</v>
      </c>
      <c r="I17" s="32">
        <v>19</v>
      </c>
      <c r="K17" s="12" t="s">
        <v>22</v>
      </c>
      <c r="L17" s="13">
        <v>22</v>
      </c>
      <c r="M17" s="141">
        <v>23</v>
      </c>
      <c r="N17" s="32">
        <v>63</v>
      </c>
      <c r="O17" s="32">
        <v>6</v>
      </c>
      <c r="P17" s="32">
        <v>0</v>
      </c>
      <c r="Q17" s="32">
        <v>38</v>
      </c>
      <c r="R17" s="32">
        <v>13</v>
      </c>
    </row>
    <row r="18" spans="2:18" x14ac:dyDescent="0.25">
      <c r="B18" s="12" t="s">
        <v>23</v>
      </c>
      <c r="C18" s="13">
        <v>46</v>
      </c>
      <c r="D18" s="141">
        <v>117</v>
      </c>
      <c r="E18" s="32">
        <v>361</v>
      </c>
      <c r="F18" s="32">
        <v>53</v>
      </c>
      <c r="G18" s="32">
        <v>30</v>
      </c>
      <c r="H18" s="32">
        <v>45</v>
      </c>
      <c r="I18" s="32">
        <v>43</v>
      </c>
      <c r="K18" s="12" t="s">
        <v>23</v>
      </c>
      <c r="L18" s="13">
        <v>53</v>
      </c>
      <c r="M18" s="141">
        <v>116</v>
      </c>
      <c r="N18" s="32">
        <v>303</v>
      </c>
      <c r="O18" s="32">
        <v>109</v>
      </c>
      <c r="P18" s="32">
        <v>29</v>
      </c>
      <c r="Q18" s="32">
        <v>30</v>
      </c>
      <c r="R18" s="32">
        <v>44</v>
      </c>
    </row>
    <row r="19" spans="2:18" x14ac:dyDescent="0.25">
      <c r="B19" s="12" t="s">
        <v>24</v>
      </c>
      <c r="C19" s="13">
        <v>95</v>
      </c>
      <c r="D19" s="141">
        <v>17</v>
      </c>
      <c r="E19" s="32">
        <v>202</v>
      </c>
      <c r="F19" s="32">
        <v>1</v>
      </c>
      <c r="G19" s="32">
        <v>53</v>
      </c>
      <c r="H19" s="32">
        <v>20</v>
      </c>
      <c r="I19" s="32">
        <v>0</v>
      </c>
      <c r="K19" s="12" t="s">
        <v>24</v>
      </c>
      <c r="L19" s="13">
        <v>88</v>
      </c>
      <c r="M19" s="141">
        <v>18</v>
      </c>
      <c r="N19" s="32">
        <v>151</v>
      </c>
      <c r="O19" s="32">
        <v>2</v>
      </c>
      <c r="P19" s="32">
        <v>55</v>
      </c>
      <c r="Q19" s="32">
        <v>7</v>
      </c>
      <c r="R19" s="32">
        <v>3</v>
      </c>
    </row>
    <row r="20" spans="2:18" x14ac:dyDescent="0.25">
      <c r="B20" s="12" t="s">
        <v>25</v>
      </c>
      <c r="C20" s="13">
        <v>118</v>
      </c>
      <c r="D20" s="141">
        <v>85</v>
      </c>
      <c r="E20" s="32">
        <v>141</v>
      </c>
      <c r="F20" s="32">
        <v>69</v>
      </c>
      <c r="G20" s="32">
        <v>30</v>
      </c>
      <c r="H20" s="32">
        <v>49</v>
      </c>
      <c r="I20" s="32">
        <v>41</v>
      </c>
      <c r="K20" s="12" t="s">
        <v>25</v>
      </c>
      <c r="L20" s="13">
        <v>84</v>
      </c>
      <c r="M20" s="141">
        <v>74</v>
      </c>
      <c r="N20" s="32">
        <v>141</v>
      </c>
      <c r="O20" s="32">
        <v>55</v>
      </c>
      <c r="P20" s="32">
        <v>32</v>
      </c>
      <c r="Q20" s="32">
        <v>69</v>
      </c>
      <c r="R20" s="32">
        <v>44</v>
      </c>
    </row>
    <row r="21" spans="2:18" x14ac:dyDescent="0.25">
      <c r="B21" s="12" t="s">
        <v>26</v>
      </c>
      <c r="C21" s="13">
        <v>110</v>
      </c>
      <c r="D21" s="141">
        <v>42</v>
      </c>
      <c r="E21" s="32">
        <v>229</v>
      </c>
      <c r="F21" s="32">
        <v>6</v>
      </c>
      <c r="G21" s="32">
        <v>0</v>
      </c>
      <c r="H21" s="32">
        <v>39</v>
      </c>
      <c r="I21" s="32">
        <v>85</v>
      </c>
      <c r="K21" s="12" t="s">
        <v>26</v>
      </c>
      <c r="L21" s="13">
        <v>130</v>
      </c>
      <c r="M21" s="141">
        <v>32</v>
      </c>
      <c r="N21" s="32">
        <v>191</v>
      </c>
      <c r="O21" s="32">
        <v>0</v>
      </c>
      <c r="P21" s="32">
        <v>0</v>
      </c>
      <c r="Q21" s="32">
        <v>20</v>
      </c>
      <c r="R21" s="32">
        <v>77</v>
      </c>
    </row>
    <row r="22" spans="2:18" x14ac:dyDescent="0.25">
      <c r="B22" s="12" t="s">
        <v>27</v>
      </c>
      <c r="C22" s="13">
        <v>158</v>
      </c>
      <c r="D22" s="141">
        <v>37</v>
      </c>
      <c r="E22" s="32">
        <v>232</v>
      </c>
      <c r="F22" s="32">
        <v>47</v>
      </c>
      <c r="G22" s="32">
        <v>25</v>
      </c>
      <c r="H22" s="32">
        <v>31</v>
      </c>
      <c r="I22" s="32">
        <v>27</v>
      </c>
      <c r="K22" s="12" t="s">
        <v>27</v>
      </c>
      <c r="L22" s="13">
        <v>152</v>
      </c>
      <c r="M22" s="141">
        <v>30</v>
      </c>
      <c r="N22" s="32">
        <v>137</v>
      </c>
      <c r="O22" s="32">
        <v>32</v>
      </c>
      <c r="P22" s="32">
        <v>27</v>
      </c>
      <c r="Q22" s="32">
        <v>41</v>
      </c>
      <c r="R22" s="32">
        <v>35</v>
      </c>
    </row>
    <row r="23" spans="2:18" x14ac:dyDescent="0.25">
      <c r="B23" s="16" t="s">
        <v>28</v>
      </c>
      <c r="C23" s="13">
        <v>101</v>
      </c>
      <c r="D23" s="141">
        <v>65</v>
      </c>
      <c r="E23" s="206">
        <v>55</v>
      </c>
      <c r="F23" s="206">
        <v>17</v>
      </c>
      <c r="G23" s="32">
        <v>65</v>
      </c>
      <c r="H23" s="206">
        <v>28</v>
      </c>
      <c r="I23" s="32">
        <v>31</v>
      </c>
      <c r="K23" s="16" t="s">
        <v>28</v>
      </c>
      <c r="L23" s="13">
        <v>98</v>
      </c>
      <c r="M23" s="141">
        <v>54</v>
      </c>
      <c r="N23" s="206">
        <v>58</v>
      </c>
      <c r="O23" s="206">
        <v>11</v>
      </c>
      <c r="P23" s="32">
        <v>65</v>
      </c>
      <c r="Q23" s="206">
        <v>61</v>
      </c>
      <c r="R23" s="32">
        <v>30</v>
      </c>
    </row>
    <row r="24" spans="2:18" x14ac:dyDescent="0.25">
      <c r="B24" s="16" t="s">
        <v>29</v>
      </c>
      <c r="C24" s="13">
        <v>205</v>
      </c>
      <c r="D24" s="141">
        <v>194</v>
      </c>
      <c r="E24" s="206">
        <v>310</v>
      </c>
      <c r="F24" s="206">
        <v>34</v>
      </c>
      <c r="G24" s="32">
        <v>44</v>
      </c>
      <c r="H24" s="206">
        <v>35</v>
      </c>
      <c r="I24" s="32">
        <v>19</v>
      </c>
      <c r="K24" s="16" t="s">
        <v>29</v>
      </c>
      <c r="L24" s="13">
        <v>141</v>
      </c>
      <c r="M24" s="141">
        <v>139</v>
      </c>
      <c r="N24" s="206">
        <v>241</v>
      </c>
      <c r="O24" s="206">
        <v>29</v>
      </c>
      <c r="P24" s="32">
        <v>37</v>
      </c>
      <c r="Q24" s="206">
        <v>38</v>
      </c>
      <c r="R24" s="32">
        <v>32</v>
      </c>
    </row>
    <row r="25" spans="2:18" x14ac:dyDescent="0.25">
      <c r="B25" s="16" t="s">
        <v>30</v>
      </c>
      <c r="C25" s="13">
        <v>78</v>
      </c>
      <c r="D25" s="141">
        <v>43</v>
      </c>
      <c r="E25" s="206">
        <v>131</v>
      </c>
      <c r="F25" s="206">
        <v>22</v>
      </c>
      <c r="G25" s="32">
        <v>4</v>
      </c>
      <c r="H25" s="206">
        <v>45</v>
      </c>
      <c r="I25" s="32">
        <v>40</v>
      </c>
      <c r="K25" s="16" t="s">
        <v>30</v>
      </c>
      <c r="L25" s="13">
        <v>64</v>
      </c>
      <c r="M25" s="141">
        <v>37</v>
      </c>
      <c r="N25" s="206">
        <v>132</v>
      </c>
      <c r="O25" s="206">
        <v>26</v>
      </c>
      <c r="P25" s="32">
        <v>4</v>
      </c>
      <c r="Q25" s="206">
        <v>48</v>
      </c>
      <c r="R25" s="32">
        <v>22</v>
      </c>
    </row>
    <row r="26" spans="2:18" x14ac:dyDescent="0.25">
      <c r="B26" s="16" t="s">
        <v>31</v>
      </c>
      <c r="C26" s="13">
        <v>50</v>
      </c>
      <c r="D26" s="141">
        <v>63</v>
      </c>
      <c r="E26" s="206">
        <v>145</v>
      </c>
      <c r="F26" s="206">
        <v>92</v>
      </c>
      <c r="G26" s="32">
        <v>25</v>
      </c>
      <c r="H26" s="206">
        <v>66</v>
      </c>
      <c r="I26" s="32">
        <v>46</v>
      </c>
      <c r="K26" s="16" t="s">
        <v>31</v>
      </c>
      <c r="L26" s="13">
        <v>59</v>
      </c>
      <c r="M26" s="141">
        <v>44</v>
      </c>
      <c r="N26" s="206">
        <v>135</v>
      </c>
      <c r="O26" s="206">
        <v>99</v>
      </c>
      <c r="P26" s="32">
        <v>22</v>
      </c>
      <c r="Q26" s="206">
        <v>78</v>
      </c>
      <c r="R26" s="32">
        <v>74</v>
      </c>
    </row>
    <row r="27" spans="2:18" x14ac:dyDescent="0.25">
      <c r="B27" s="16" t="s">
        <v>32</v>
      </c>
      <c r="C27" s="13">
        <v>90</v>
      </c>
      <c r="D27" s="141">
        <v>20</v>
      </c>
      <c r="E27" s="206">
        <v>92</v>
      </c>
      <c r="F27" s="206">
        <v>57</v>
      </c>
      <c r="G27" s="32">
        <v>3</v>
      </c>
      <c r="H27" s="206">
        <v>47</v>
      </c>
      <c r="I27" s="32">
        <v>56</v>
      </c>
      <c r="K27" s="16" t="s">
        <v>32</v>
      </c>
      <c r="L27" s="13">
        <v>71</v>
      </c>
      <c r="M27" s="141">
        <v>13</v>
      </c>
      <c r="N27" s="206">
        <v>79</v>
      </c>
      <c r="O27" s="206">
        <v>72</v>
      </c>
      <c r="P27" s="32">
        <v>3</v>
      </c>
      <c r="Q27" s="206">
        <v>59</v>
      </c>
      <c r="R27" s="32">
        <v>41</v>
      </c>
    </row>
    <row r="28" spans="2:18" x14ac:dyDescent="0.25">
      <c r="B28" s="16" t="s">
        <v>33</v>
      </c>
      <c r="C28" s="13">
        <v>74</v>
      </c>
      <c r="D28" s="141">
        <v>18</v>
      </c>
      <c r="E28" s="206">
        <v>127</v>
      </c>
      <c r="F28" s="206">
        <v>16</v>
      </c>
      <c r="G28" s="32">
        <v>31</v>
      </c>
      <c r="H28" s="206">
        <v>16</v>
      </c>
      <c r="I28" s="32">
        <v>19</v>
      </c>
      <c r="K28" s="16" t="s">
        <v>33</v>
      </c>
      <c r="L28" s="13">
        <v>85</v>
      </c>
      <c r="M28" s="141">
        <v>17</v>
      </c>
      <c r="N28" s="206">
        <v>133</v>
      </c>
      <c r="O28" s="206">
        <v>10</v>
      </c>
      <c r="P28" s="32">
        <v>30</v>
      </c>
      <c r="Q28" s="206">
        <v>15</v>
      </c>
      <c r="R28" s="32">
        <v>35</v>
      </c>
    </row>
    <row r="29" spans="2:18" x14ac:dyDescent="0.25">
      <c r="B29" s="16" t="s">
        <v>34</v>
      </c>
      <c r="C29" s="13">
        <v>81</v>
      </c>
      <c r="D29" s="141">
        <v>91</v>
      </c>
      <c r="E29" s="206">
        <v>352</v>
      </c>
      <c r="F29" s="206">
        <v>49</v>
      </c>
      <c r="G29" s="32">
        <v>24</v>
      </c>
      <c r="H29" s="206">
        <v>42</v>
      </c>
      <c r="I29" s="32">
        <v>21</v>
      </c>
      <c r="K29" s="16" t="s">
        <v>34</v>
      </c>
      <c r="L29" s="13">
        <v>84</v>
      </c>
      <c r="M29" s="141">
        <v>86</v>
      </c>
      <c r="N29" s="206">
        <v>140</v>
      </c>
      <c r="O29" s="206">
        <v>65</v>
      </c>
      <c r="P29" s="32">
        <v>19</v>
      </c>
      <c r="Q29" s="206">
        <v>10</v>
      </c>
      <c r="R29" s="32">
        <v>62</v>
      </c>
    </row>
    <row r="30" spans="2:18" x14ac:dyDescent="0.25">
      <c r="B30" s="16" t="s">
        <v>35</v>
      </c>
      <c r="C30" s="13">
        <v>54</v>
      </c>
      <c r="D30" s="141">
        <v>102</v>
      </c>
      <c r="E30" s="206">
        <v>113</v>
      </c>
      <c r="F30" s="206">
        <v>19</v>
      </c>
      <c r="G30" s="32">
        <v>0</v>
      </c>
      <c r="H30" s="206">
        <v>26</v>
      </c>
      <c r="I30" s="32">
        <v>12</v>
      </c>
      <c r="K30" s="16" t="s">
        <v>35</v>
      </c>
      <c r="L30" s="13">
        <v>33</v>
      </c>
      <c r="M30" s="141">
        <v>117</v>
      </c>
      <c r="N30" s="206">
        <v>52</v>
      </c>
      <c r="O30" s="206">
        <v>11</v>
      </c>
      <c r="P30" s="32">
        <v>0</v>
      </c>
      <c r="Q30" s="206">
        <v>11</v>
      </c>
      <c r="R30" s="32">
        <v>10</v>
      </c>
    </row>
    <row r="31" spans="2:18" x14ac:dyDescent="0.25">
      <c r="B31" s="16" t="s">
        <v>36</v>
      </c>
      <c r="C31" s="13">
        <v>19</v>
      </c>
      <c r="D31" s="141">
        <v>3</v>
      </c>
      <c r="E31" s="206">
        <v>29</v>
      </c>
      <c r="F31" s="206">
        <v>5</v>
      </c>
      <c r="G31" s="32">
        <v>13</v>
      </c>
      <c r="H31" s="206">
        <v>22</v>
      </c>
      <c r="I31" s="32">
        <v>14</v>
      </c>
      <c r="K31" s="16" t="s">
        <v>36</v>
      </c>
      <c r="L31" s="13">
        <v>11</v>
      </c>
      <c r="M31" s="141">
        <v>3</v>
      </c>
      <c r="N31" s="206">
        <v>36</v>
      </c>
      <c r="O31" s="206">
        <v>6</v>
      </c>
      <c r="P31" s="32">
        <v>10</v>
      </c>
      <c r="Q31" s="206">
        <v>16</v>
      </c>
      <c r="R31" s="32">
        <v>22</v>
      </c>
    </row>
    <row r="32" spans="2:18" x14ac:dyDescent="0.25">
      <c r="B32" s="16" t="s">
        <v>37</v>
      </c>
      <c r="C32" s="13">
        <v>57</v>
      </c>
      <c r="D32" s="141">
        <v>18</v>
      </c>
      <c r="E32" s="206">
        <v>38</v>
      </c>
      <c r="F32" s="206">
        <v>7</v>
      </c>
      <c r="G32" s="32">
        <v>47</v>
      </c>
      <c r="H32" s="206">
        <v>31</v>
      </c>
      <c r="I32" s="32">
        <v>21</v>
      </c>
      <c r="K32" s="16" t="s">
        <v>37</v>
      </c>
      <c r="L32" s="13">
        <v>67</v>
      </c>
      <c r="M32" s="141">
        <v>10</v>
      </c>
      <c r="N32" s="206">
        <v>39</v>
      </c>
      <c r="O32" s="206">
        <v>13</v>
      </c>
      <c r="P32" s="32">
        <v>48</v>
      </c>
      <c r="Q32" s="206">
        <v>41</v>
      </c>
      <c r="R32" s="32">
        <v>36</v>
      </c>
    </row>
    <row r="33" spans="2:18" x14ac:dyDescent="0.25">
      <c r="B33" s="16" t="s">
        <v>38</v>
      </c>
      <c r="C33" s="13">
        <v>53</v>
      </c>
      <c r="D33" s="141">
        <v>9</v>
      </c>
      <c r="E33" s="206">
        <v>185</v>
      </c>
      <c r="F33" s="206">
        <v>103</v>
      </c>
      <c r="G33" s="32">
        <v>1</v>
      </c>
      <c r="H33" s="206">
        <v>88</v>
      </c>
      <c r="I33" s="32">
        <v>50</v>
      </c>
      <c r="K33" s="16" t="s">
        <v>38</v>
      </c>
      <c r="L33" s="13">
        <v>59</v>
      </c>
      <c r="M33" s="141">
        <v>8</v>
      </c>
      <c r="N33" s="206">
        <v>150</v>
      </c>
      <c r="O33" s="206">
        <v>131</v>
      </c>
      <c r="P33" s="32">
        <v>0</v>
      </c>
      <c r="Q33" s="206">
        <v>106</v>
      </c>
      <c r="R33" s="32">
        <v>94</v>
      </c>
    </row>
    <row r="34" spans="2:18" ht="15.75" thickBot="1" x14ac:dyDescent="0.3">
      <c r="B34" s="17" t="s">
        <v>39</v>
      </c>
      <c r="C34" s="18">
        <v>45</v>
      </c>
      <c r="D34" s="142">
        <v>51</v>
      </c>
      <c r="E34" s="207">
        <v>120</v>
      </c>
      <c r="F34" s="207">
        <v>12</v>
      </c>
      <c r="G34" s="35">
        <v>0</v>
      </c>
      <c r="H34" s="207">
        <v>16</v>
      </c>
      <c r="I34" s="35">
        <v>12</v>
      </c>
      <c r="K34" s="17" t="s">
        <v>39</v>
      </c>
      <c r="L34" s="18">
        <v>23</v>
      </c>
      <c r="M34" s="142">
        <v>47</v>
      </c>
      <c r="N34" s="207">
        <v>75</v>
      </c>
      <c r="O34" s="207">
        <v>10</v>
      </c>
      <c r="P34" s="35">
        <v>0</v>
      </c>
      <c r="Q34" s="207">
        <v>11</v>
      </c>
      <c r="R34" s="35">
        <v>21</v>
      </c>
    </row>
    <row r="35" spans="2:18" x14ac:dyDescent="0.25">
      <c r="E35" s="48"/>
      <c r="F35" s="48"/>
    </row>
  </sheetData>
  <mergeCells count="10">
    <mergeCell ref="C5:I5"/>
    <mergeCell ref="B5:B8"/>
    <mergeCell ref="C6:D6"/>
    <mergeCell ref="C7:C8"/>
    <mergeCell ref="D7:D8"/>
    <mergeCell ref="K5:K8"/>
    <mergeCell ref="L5:R5"/>
    <mergeCell ref="L6:M6"/>
    <mergeCell ref="L7:L8"/>
    <mergeCell ref="M7:M8"/>
  </mergeCells>
  <pageMargins left="0" right="0" top="1.4173228346456694" bottom="0" header="0" footer="0"/>
  <pageSetup paperSize="9" scale="4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39997558519241921"/>
    <pageSetUpPr fitToPage="1"/>
  </sheetPr>
  <dimension ref="B2:R32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5703125" style="11" customWidth="1"/>
    <col min="2" max="2" width="25.28515625" style="11" customWidth="1"/>
    <col min="3" max="3" width="13.42578125" style="11" customWidth="1"/>
    <col min="4" max="4" width="15" style="11" customWidth="1"/>
    <col min="5" max="5" width="15.85546875" style="11" customWidth="1"/>
    <col min="6" max="6" width="2.7109375" style="11" customWidth="1"/>
    <col min="7" max="7" width="2.28515625" style="11" customWidth="1"/>
    <col min="8" max="8" width="5.28515625" style="11" customWidth="1"/>
    <col min="9" max="9" width="11.85546875" style="11" customWidth="1"/>
    <col min="10" max="10" width="10.42578125" style="11" customWidth="1"/>
    <col min="11" max="11" width="10.5703125" style="11" customWidth="1"/>
    <col min="12" max="12" width="11.7109375" style="11" customWidth="1"/>
    <col min="13" max="13" width="2.85546875" style="11" customWidth="1"/>
    <col min="14" max="14" width="6.85546875" style="11" customWidth="1"/>
    <col min="15" max="15" width="4.28515625" style="11" customWidth="1"/>
    <col min="16" max="16384" width="9.140625" style="11"/>
  </cols>
  <sheetData>
    <row r="2" spans="2:18" x14ac:dyDescent="0.25">
      <c r="B2" s="200" t="s">
        <v>592</v>
      </c>
      <c r="C2" s="200"/>
      <c r="D2" s="200"/>
      <c r="E2" s="200"/>
    </row>
    <row r="3" spans="2:18" ht="13.5" customHeight="1" x14ac:dyDescent="0.25">
      <c r="B3" s="135" t="s">
        <v>593</v>
      </c>
      <c r="C3" s="200"/>
      <c r="D3" s="200"/>
      <c r="E3" s="200"/>
    </row>
    <row r="4" spans="2:18" ht="12.75" customHeight="1" thickBot="1" x14ac:dyDescent="0.3">
      <c r="B4" s="196"/>
      <c r="C4" s="196"/>
      <c r="D4" s="196"/>
      <c r="E4" s="196"/>
    </row>
    <row r="5" spans="2:18" x14ac:dyDescent="0.25">
      <c r="B5" s="951"/>
      <c r="C5" s="952"/>
      <c r="D5" s="953" t="s">
        <v>49</v>
      </c>
      <c r="E5" s="954"/>
      <c r="M5" s="593"/>
      <c r="N5" s="593"/>
      <c r="O5" s="593"/>
    </row>
    <row r="6" spans="2:18" ht="45.75" thickBot="1" x14ac:dyDescent="0.3">
      <c r="B6" s="955" t="s">
        <v>13</v>
      </c>
      <c r="C6" s="956" t="s">
        <v>239</v>
      </c>
      <c r="D6" s="956" t="s">
        <v>241</v>
      </c>
      <c r="E6" s="957" t="s">
        <v>240</v>
      </c>
      <c r="H6" s="200"/>
      <c r="M6" s="593"/>
      <c r="N6" s="593"/>
      <c r="O6" s="593"/>
    </row>
    <row r="7" spans="2:18" ht="24.75" customHeight="1" thickBot="1" x14ac:dyDescent="0.3">
      <c r="B7" s="201" t="s">
        <v>14</v>
      </c>
      <c r="C7" s="202">
        <f>SUM(C8:C32)</f>
        <v>276</v>
      </c>
      <c r="D7" s="391">
        <f>SUM(D8:D32)</f>
        <v>0</v>
      </c>
      <c r="E7" s="203">
        <f>SUM(E8:E32)</f>
        <v>276</v>
      </c>
      <c r="M7" s="593"/>
      <c r="N7" s="593"/>
      <c r="O7" s="593"/>
    </row>
    <row r="8" spans="2:18" x14ac:dyDescent="0.25">
      <c r="B8" s="199" t="s">
        <v>15</v>
      </c>
      <c r="C8" s="392">
        <f>SUM(D8:E8)</f>
        <v>0</v>
      </c>
      <c r="D8" s="223">
        <v>0</v>
      </c>
      <c r="E8" s="224">
        <v>0</v>
      </c>
      <c r="G8" s="136"/>
      <c r="M8" s="593"/>
      <c r="N8" s="593"/>
      <c r="O8" s="593"/>
    </row>
    <row r="9" spans="2:18" x14ac:dyDescent="0.25">
      <c r="B9" s="197" t="s">
        <v>16</v>
      </c>
      <c r="C9" s="9">
        <f t="shared" ref="C9:C32" si="0">SUM(D9:E9)</f>
        <v>0</v>
      </c>
      <c r="D9" s="131">
        <v>0</v>
      </c>
      <c r="E9" s="132">
        <v>0</v>
      </c>
      <c r="G9" s="136"/>
      <c r="M9" s="593"/>
      <c r="N9" s="593"/>
      <c r="O9" s="593"/>
    </row>
    <row r="10" spans="2:18" x14ac:dyDescent="0.25">
      <c r="B10" s="197" t="s">
        <v>17</v>
      </c>
      <c r="C10" s="9">
        <f t="shared" si="0"/>
        <v>36</v>
      </c>
      <c r="D10" s="131">
        <v>0</v>
      </c>
      <c r="E10" s="132">
        <v>36</v>
      </c>
      <c r="J10" s="965" t="s">
        <v>255</v>
      </c>
      <c r="K10" s="964" t="s">
        <v>249</v>
      </c>
      <c r="L10" s="964" t="s">
        <v>250</v>
      </c>
      <c r="M10" s="593"/>
      <c r="N10" s="593"/>
      <c r="O10" s="593"/>
      <c r="P10" s="966" t="s">
        <v>253</v>
      </c>
      <c r="Q10" s="964" t="s">
        <v>249</v>
      </c>
      <c r="R10" s="964" t="s">
        <v>250</v>
      </c>
    </row>
    <row r="11" spans="2:18" x14ac:dyDescent="0.25">
      <c r="B11" s="197" t="s">
        <v>18</v>
      </c>
      <c r="C11" s="9">
        <f t="shared" si="0"/>
        <v>0</v>
      </c>
      <c r="D11" s="131">
        <v>0</v>
      </c>
      <c r="E11" s="132">
        <v>0</v>
      </c>
      <c r="J11" s="95" t="s">
        <v>293</v>
      </c>
      <c r="K11" s="14">
        <v>236</v>
      </c>
      <c r="L11" s="14">
        <v>199</v>
      </c>
      <c r="M11" s="593"/>
      <c r="N11" s="593"/>
      <c r="O11" s="593"/>
      <c r="P11" s="95">
        <v>2007</v>
      </c>
      <c r="Q11" s="14">
        <v>479</v>
      </c>
      <c r="R11" s="14">
        <v>437</v>
      </c>
    </row>
    <row r="12" spans="2:18" x14ac:dyDescent="0.25">
      <c r="B12" s="197" t="s">
        <v>19</v>
      </c>
      <c r="C12" s="9">
        <f t="shared" si="0"/>
        <v>0</v>
      </c>
      <c r="D12" s="131">
        <v>0</v>
      </c>
      <c r="E12" s="132">
        <v>0</v>
      </c>
      <c r="J12" s="95" t="s">
        <v>294</v>
      </c>
      <c r="K12" s="652">
        <v>1321</v>
      </c>
      <c r="L12" s="14">
        <v>909</v>
      </c>
      <c r="M12" s="593"/>
      <c r="N12" s="593"/>
      <c r="O12" s="593"/>
      <c r="P12" s="95">
        <v>2008</v>
      </c>
      <c r="Q12" s="14">
        <v>4570</v>
      </c>
      <c r="R12" s="14">
        <v>2154</v>
      </c>
    </row>
    <row r="13" spans="2:18" x14ac:dyDescent="0.25">
      <c r="B13" s="197" t="s">
        <v>20</v>
      </c>
      <c r="C13" s="9">
        <f t="shared" si="0"/>
        <v>0</v>
      </c>
      <c r="D13" s="131">
        <v>0</v>
      </c>
      <c r="E13" s="132">
        <v>0</v>
      </c>
      <c r="J13" s="95" t="s">
        <v>295</v>
      </c>
      <c r="K13" s="652">
        <v>8218</v>
      </c>
      <c r="L13" s="652">
        <v>4590</v>
      </c>
      <c r="M13" s="593"/>
      <c r="N13" s="593"/>
      <c r="O13" s="593"/>
      <c r="P13" s="95">
        <v>2009</v>
      </c>
      <c r="Q13" s="14">
        <v>9176</v>
      </c>
      <c r="R13" s="14">
        <v>6255</v>
      </c>
    </row>
    <row r="14" spans="2:18" x14ac:dyDescent="0.25">
      <c r="B14" s="197" t="s">
        <v>21</v>
      </c>
      <c r="C14" s="9">
        <f t="shared" si="0"/>
        <v>0</v>
      </c>
      <c r="D14" s="131">
        <v>0</v>
      </c>
      <c r="E14" s="132">
        <v>0</v>
      </c>
      <c r="J14" s="95" t="s">
        <v>296</v>
      </c>
      <c r="K14" s="14">
        <v>803</v>
      </c>
      <c r="L14" s="14">
        <v>129</v>
      </c>
      <c r="M14" s="593"/>
      <c r="N14" s="593"/>
      <c r="O14" s="593"/>
      <c r="P14" s="95">
        <v>2010</v>
      </c>
      <c r="Q14" s="14">
        <v>1412</v>
      </c>
      <c r="R14" s="14">
        <v>1120</v>
      </c>
    </row>
    <row r="15" spans="2:18" x14ac:dyDescent="0.25">
      <c r="B15" s="197" t="s">
        <v>22</v>
      </c>
      <c r="C15" s="9">
        <f t="shared" si="0"/>
        <v>0</v>
      </c>
      <c r="D15" s="131">
        <v>0</v>
      </c>
      <c r="E15" s="132">
        <v>0</v>
      </c>
      <c r="J15" s="95" t="s">
        <v>297</v>
      </c>
      <c r="K15" s="652">
        <v>2044</v>
      </c>
      <c r="L15" s="652">
        <v>1509</v>
      </c>
      <c r="M15" s="593"/>
      <c r="N15" s="593"/>
      <c r="O15" s="593"/>
      <c r="P15" s="95">
        <v>2011</v>
      </c>
      <c r="Q15" s="14">
        <v>2730</v>
      </c>
      <c r="R15" s="14">
        <v>2048</v>
      </c>
    </row>
    <row r="16" spans="2:18" x14ac:dyDescent="0.25">
      <c r="B16" s="197" t="s">
        <v>23</v>
      </c>
      <c r="C16" s="9">
        <f t="shared" si="0"/>
        <v>0</v>
      </c>
      <c r="D16" s="131">
        <v>0</v>
      </c>
      <c r="E16" s="132">
        <v>0</v>
      </c>
      <c r="J16" s="95" t="s">
        <v>298</v>
      </c>
      <c r="K16" s="14">
        <v>438</v>
      </c>
      <c r="L16" s="14">
        <v>549</v>
      </c>
      <c r="M16" s="358"/>
      <c r="N16" s="593"/>
      <c r="O16" s="593"/>
      <c r="P16" s="95">
        <v>2012</v>
      </c>
      <c r="Q16" s="14">
        <v>1273</v>
      </c>
      <c r="R16" s="14">
        <v>1050</v>
      </c>
    </row>
    <row r="17" spans="2:18" x14ac:dyDescent="0.25">
      <c r="B17" s="197" t="s">
        <v>24</v>
      </c>
      <c r="C17" s="9">
        <f t="shared" si="0"/>
        <v>0</v>
      </c>
      <c r="D17" s="131">
        <v>0</v>
      </c>
      <c r="E17" s="132">
        <v>0</v>
      </c>
      <c r="J17" s="95" t="s">
        <v>299</v>
      </c>
      <c r="K17" s="652">
        <v>1134</v>
      </c>
      <c r="L17" s="14">
        <v>590</v>
      </c>
      <c r="M17" s="358"/>
      <c r="N17" s="593"/>
      <c r="O17" s="593"/>
      <c r="P17" s="95">
        <v>2013</v>
      </c>
      <c r="Q17" s="14">
        <v>2106</v>
      </c>
      <c r="R17" s="14">
        <v>1235</v>
      </c>
    </row>
    <row r="18" spans="2:18" x14ac:dyDescent="0.25">
      <c r="B18" s="197" t="s">
        <v>25</v>
      </c>
      <c r="C18" s="9">
        <f t="shared" si="0"/>
        <v>0</v>
      </c>
      <c r="D18" s="131">
        <v>0</v>
      </c>
      <c r="E18" s="132">
        <v>0</v>
      </c>
      <c r="J18" s="95" t="s">
        <v>300</v>
      </c>
      <c r="K18" s="14">
        <v>809</v>
      </c>
      <c r="L18" s="14">
        <v>378</v>
      </c>
      <c r="M18" s="593"/>
      <c r="N18" s="593"/>
      <c r="O18" s="593"/>
      <c r="P18" s="95">
        <v>2014</v>
      </c>
      <c r="Q18" s="14">
        <v>1311</v>
      </c>
      <c r="R18" s="14">
        <v>651</v>
      </c>
    </row>
    <row r="19" spans="2:18" x14ac:dyDescent="0.25">
      <c r="B19" s="197" t="s">
        <v>26</v>
      </c>
      <c r="C19" s="9">
        <f t="shared" si="0"/>
        <v>40</v>
      </c>
      <c r="D19" s="131">
        <v>0</v>
      </c>
      <c r="E19" s="132">
        <v>40</v>
      </c>
      <c r="J19" s="95" t="s">
        <v>301</v>
      </c>
      <c r="K19" s="14">
        <v>991</v>
      </c>
      <c r="L19" s="14">
        <v>419</v>
      </c>
      <c r="M19" s="593"/>
      <c r="N19" s="593"/>
      <c r="O19" s="593"/>
      <c r="P19" s="95">
        <v>2015</v>
      </c>
      <c r="Q19" s="14">
        <v>1204</v>
      </c>
      <c r="R19" s="14">
        <v>1108</v>
      </c>
    </row>
    <row r="20" spans="2:18" x14ac:dyDescent="0.25">
      <c r="B20" s="197" t="s">
        <v>27</v>
      </c>
      <c r="C20" s="9">
        <f t="shared" si="0"/>
        <v>0</v>
      </c>
      <c r="D20" s="131">
        <v>0</v>
      </c>
      <c r="E20" s="132">
        <v>0</v>
      </c>
      <c r="J20" s="95" t="s">
        <v>302</v>
      </c>
      <c r="K20" s="14">
        <v>264</v>
      </c>
      <c r="L20" s="14">
        <v>92</v>
      </c>
      <c r="M20" s="593"/>
      <c r="N20" s="593"/>
      <c r="O20" s="593"/>
      <c r="P20" s="95">
        <v>2016</v>
      </c>
      <c r="Q20" s="14">
        <v>720</v>
      </c>
      <c r="R20" s="14">
        <v>609</v>
      </c>
    </row>
    <row r="21" spans="2:18" x14ac:dyDescent="0.25">
      <c r="B21" s="197" t="s">
        <v>28</v>
      </c>
      <c r="C21" s="9">
        <f t="shared" si="0"/>
        <v>0</v>
      </c>
      <c r="D21" s="131">
        <v>0</v>
      </c>
      <c r="E21" s="132">
        <v>0</v>
      </c>
      <c r="J21" s="95" t="s">
        <v>303</v>
      </c>
      <c r="K21" s="14">
        <v>485</v>
      </c>
      <c r="L21" s="14">
        <v>348</v>
      </c>
      <c r="M21" s="593"/>
      <c r="N21" s="593"/>
      <c r="O21" s="593"/>
      <c r="P21" s="95">
        <v>2017</v>
      </c>
      <c r="Q21" s="14">
        <v>819</v>
      </c>
      <c r="R21" s="14">
        <v>557</v>
      </c>
    </row>
    <row r="22" spans="2:18" x14ac:dyDescent="0.25">
      <c r="B22" s="197" t="s">
        <v>29</v>
      </c>
      <c r="C22" s="9">
        <f t="shared" si="0"/>
        <v>0</v>
      </c>
      <c r="D22" s="131">
        <v>0</v>
      </c>
      <c r="E22" s="132">
        <v>0</v>
      </c>
      <c r="J22" s="95" t="s">
        <v>251</v>
      </c>
      <c r="K22" s="14">
        <v>323</v>
      </c>
      <c r="L22" s="14">
        <v>358</v>
      </c>
      <c r="M22" s="593"/>
      <c r="N22" s="593"/>
      <c r="O22" s="593"/>
      <c r="P22" s="95">
        <v>2018</v>
      </c>
      <c r="Q22" s="14">
        <v>587</v>
      </c>
      <c r="R22" s="14">
        <v>530</v>
      </c>
    </row>
    <row r="23" spans="2:18" x14ac:dyDescent="0.25">
      <c r="B23" s="197" t="s">
        <v>30</v>
      </c>
      <c r="C23" s="9">
        <f t="shared" si="0"/>
        <v>0</v>
      </c>
      <c r="D23" s="131">
        <v>0</v>
      </c>
      <c r="E23" s="132">
        <v>0</v>
      </c>
      <c r="J23" s="95" t="s">
        <v>289</v>
      </c>
      <c r="K23" s="14">
        <v>835</v>
      </c>
      <c r="L23" s="14">
        <v>333</v>
      </c>
      <c r="M23" s="593"/>
      <c r="N23" s="593"/>
      <c r="O23" s="593"/>
      <c r="P23" s="95">
        <v>2019</v>
      </c>
      <c r="Q23" s="365">
        <v>1044</v>
      </c>
      <c r="R23" s="365">
        <v>726</v>
      </c>
    </row>
    <row r="24" spans="2:18" x14ac:dyDescent="0.25">
      <c r="B24" s="197" t="s">
        <v>31</v>
      </c>
      <c r="C24" s="9">
        <f t="shared" si="0"/>
        <v>53</v>
      </c>
      <c r="D24" s="131">
        <v>0</v>
      </c>
      <c r="E24" s="132">
        <v>53</v>
      </c>
      <c r="J24" s="95" t="s">
        <v>335</v>
      </c>
      <c r="K24" s="652">
        <v>3035</v>
      </c>
      <c r="L24" s="652">
        <v>1230</v>
      </c>
      <c r="M24" s="593"/>
      <c r="N24" s="593"/>
      <c r="O24" s="593"/>
      <c r="P24" s="95">
        <v>2020</v>
      </c>
      <c r="Q24" s="14">
        <v>4716</v>
      </c>
      <c r="R24" s="14">
        <v>2746</v>
      </c>
    </row>
    <row r="25" spans="2:18" x14ac:dyDescent="0.25">
      <c r="B25" s="197" t="s">
        <v>32</v>
      </c>
      <c r="C25" s="9">
        <f t="shared" si="0"/>
        <v>0</v>
      </c>
      <c r="D25" s="131">
        <v>0</v>
      </c>
      <c r="E25" s="132">
        <v>0</v>
      </c>
      <c r="G25" s="689" t="s">
        <v>498</v>
      </c>
      <c r="J25" s="95" t="s">
        <v>340</v>
      </c>
      <c r="K25" s="14">
        <v>88</v>
      </c>
      <c r="L25" s="14">
        <v>238</v>
      </c>
      <c r="M25" s="593"/>
      <c r="N25" s="593"/>
      <c r="O25" s="593"/>
      <c r="P25" s="95">
        <v>2021</v>
      </c>
      <c r="Q25" s="14">
        <v>716</v>
      </c>
      <c r="R25" s="14">
        <v>384</v>
      </c>
    </row>
    <row r="26" spans="2:18" ht="17.25" customHeight="1" x14ac:dyDescent="0.25">
      <c r="B26" s="197" t="s">
        <v>33</v>
      </c>
      <c r="C26" s="9">
        <f t="shared" si="0"/>
        <v>0</v>
      </c>
      <c r="D26" s="131">
        <v>0</v>
      </c>
      <c r="E26" s="132">
        <v>0</v>
      </c>
      <c r="J26" s="95" t="s">
        <v>383</v>
      </c>
      <c r="K26" s="95">
        <v>599</v>
      </c>
      <c r="L26" s="95">
        <v>204</v>
      </c>
      <c r="P26" s="95">
        <v>2022</v>
      </c>
      <c r="Q26" s="14">
        <v>599</v>
      </c>
      <c r="R26" s="14">
        <v>204</v>
      </c>
    </row>
    <row r="27" spans="2:18" x14ac:dyDescent="0.25">
      <c r="B27" s="197" t="s">
        <v>34</v>
      </c>
      <c r="C27" s="9">
        <f t="shared" si="0"/>
        <v>0</v>
      </c>
      <c r="D27" s="131">
        <v>0</v>
      </c>
      <c r="E27" s="132">
        <v>0</v>
      </c>
      <c r="J27" s="95" t="s">
        <v>441</v>
      </c>
      <c r="K27" s="95">
        <v>513</v>
      </c>
      <c r="L27" s="95">
        <v>353</v>
      </c>
      <c r="P27" s="95">
        <v>2023</v>
      </c>
      <c r="Q27" s="14">
        <v>760</v>
      </c>
      <c r="R27" s="14">
        <v>566</v>
      </c>
    </row>
    <row r="28" spans="2:18" x14ac:dyDescent="0.25">
      <c r="B28" s="197" t="s">
        <v>35</v>
      </c>
      <c r="C28" s="9">
        <f t="shared" si="0"/>
        <v>0</v>
      </c>
      <c r="D28" s="131">
        <v>0</v>
      </c>
      <c r="E28" s="132">
        <v>0</v>
      </c>
      <c r="J28" s="95" t="s">
        <v>499</v>
      </c>
      <c r="K28" s="95">
        <v>276</v>
      </c>
      <c r="L28" s="95">
        <v>230</v>
      </c>
      <c r="P28" s="95">
        <v>2024</v>
      </c>
      <c r="Q28" s="688"/>
      <c r="R28" s="688"/>
    </row>
    <row r="29" spans="2:18" x14ac:dyDescent="0.25">
      <c r="B29" s="197" t="s">
        <v>36</v>
      </c>
      <c r="C29" s="9">
        <f t="shared" si="0"/>
        <v>147</v>
      </c>
      <c r="D29" s="131">
        <v>0</v>
      </c>
      <c r="E29" s="132">
        <v>147</v>
      </c>
      <c r="J29" s="967" t="s">
        <v>541</v>
      </c>
      <c r="K29" s="967"/>
      <c r="L29" s="967"/>
    </row>
    <row r="30" spans="2:18" x14ac:dyDescent="0.25">
      <c r="B30" s="197" t="s">
        <v>37</v>
      </c>
      <c r="C30" s="9">
        <f t="shared" si="0"/>
        <v>0</v>
      </c>
      <c r="D30" s="131">
        <v>0</v>
      </c>
      <c r="E30" s="132">
        <v>0</v>
      </c>
      <c r="J30" s="593" t="s">
        <v>540</v>
      </c>
      <c r="K30" s="593"/>
      <c r="L30" s="593"/>
    </row>
    <row r="31" spans="2:18" x14ac:dyDescent="0.25">
      <c r="B31" s="197" t="s">
        <v>38</v>
      </c>
      <c r="C31" s="9">
        <f t="shared" si="0"/>
        <v>0</v>
      </c>
      <c r="D31" s="131">
        <v>0</v>
      </c>
      <c r="E31" s="132">
        <v>0</v>
      </c>
    </row>
    <row r="32" spans="2:18" ht="15.75" thickBot="1" x14ac:dyDescent="0.3">
      <c r="B32" s="198" t="s">
        <v>39</v>
      </c>
      <c r="C32" s="5">
        <f t="shared" si="0"/>
        <v>0</v>
      </c>
      <c r="D32" s="133">
        <v>0</v>
      </c>
      <c r="E32" s="134">
        <v>0</v>
      </c>
      <c r="L32" s="136">
        <f>SUM(L28-L27)</f>
        <v>-123</v>
      </c>
    </row>
  </sheetData>
  <printOptions horizontalCentered="1" verticalCentered="1"/>
  <pageMargins left="1.7322834645669292" right="0" top="0.6692913385826772" bottom="0" header="0" footer="0"/>
  <pageSetup paperSize="9" scale="4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4044-08C1-4CBE-8692-7F17E672CBDD}">
  <sheetPr>
    <tabColor theme="9" tint="0.39997558519241921"/>
    <pageSetUpPr fitToPage="1"/>
  </sheetPr>
  <dimension ref="B2:T37"/>
  <sheetViews>
    <sheetView zoomScale="80" zoomScaleNormal="80" workbookViewId="0">
      <selection activeCell="B1" sqref="B1"/>
    </sheetView>
  </sheetViews>
  <sheetFormatPr defaultRowHeight="12" x14ac:dyDescent="0.2"/>
  <cols>
    <col min="1" max="1" width="3" style="527" customWidth="1"/>
    <col min="2" max="2" width="40.7109375" style="527" customWidth="1"/>
    <col min="3" max="3" width="6.85546875" style="527" customWidth="1"/>
    <col min="4" max="4" width="7.5703125" style="527" customWidth="1"/>
    <col min="5" max="5" width="7.28515625" style="527" customWidth="1"/>
    <col min="6" max="6" width="7" style="527" customWidth="1"/>
    <col min="7" max="8" width="7.140625" style="527" customWidth="1"/>
    <col min="9" max="10" width="7.28515625" style="527" customWidth="1"/>
    <col min="11" max="13" width="7" style="527" customWidth="1"/>
    <col min="14" max="14" width="7.140625" style="527" customWidth="1"/>
    <col min="15" max="16" width="7.28515625" style="527" customWidth="1"/>
    <col min="17" max="16384" width="9.140625" style="527"/>
  </cols>
  <sheetData>
    <row r="2" spans="2:17" x14ac:dyDescent="0.2">
      <c r="B2" s="49" t="s">
        <v>594</v>
      </c>
      <c r="C2" s="49"/>
      <c r="D2" s="49"/>
      <c r="E2" s="49"/>
      <c r="F2" s="49" t="s">
        <v>428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2:17" x14ac:dyDescent="0.2">
      <c r="B3" s="528" t="s">
        <v>562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2:17" ht="12.75" thickBo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2:17" ht="29.25" customHeight="1" thickBot="1" x14ac:dyDescent="0.25">
      <c r="B5" s="958" t="s">
        <v>3</v>
      </c>
      <c r="C5" s="959" t="s">
        <v>96</v>
      </c>
      <c r="D5" s="959" t="s">
        <v>97</v>
      </c>
      <c r="E5" s="959" t="s">
        <v>98</v>
      </c>
      <c r="F5" s="959" t="s">
        <v>99</v>
      </c>
      <c r="G5" s="960" t="s">
        <v>100</v>
      </c>
      <c r="H5" s="959" t="s">
        <v>101</v>
      </c>
      <c r="I5" s="959" t="s">
        <v>248</v>
      </c>
      <c r="J5" s="960" t="s">
        <v>254</v>
      </c>
      <c r="K5" s="959" t="s">
        <v>290</v>
      </c>
      <c r="L5" s="959" t="s">
        <v>334</v>
      </c>
      <c r="M5" s="961" t="s">
        <v>339</v>
      </c>
      <c r="N5" s="961" t="s">
        <v>384</v>
      </c>
      <c r="O5" s="961" t="s">
        <v>435</v>
      </c>
      <c r="P5" s="961" t="s">
        <v>497</v>
      </c>
      <c r="Q5" s="962" t="s">
        <v>102</v>
      </c>
    </row>
    <row r="6" spans="2:17" ht="12.75" thickBot="1" x14ac:dyDescent="0.25">
      <c r="B6" s="529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1"/>
    </row>
    <row r="7" spans="2:17" ht="13.5" thickTop="1" thickBot="1" x14ac:dyDescent="0.25">
      <c r="B7" s="532" t="s">
        <v>439</v>
      </c>
      <c r="C7" s="533">
        <v>41.4</v>
      </c>
      <c r="D7" s="533">
        <v>40.799999999999997</v>
      </c>
      <c r="E7" s="533">
        <v>41.2</v>
      </c>
      <c r="F7" s="533">
        <v>41.7</v>
      </c>
      <c r="G7" s="534">
        <v>41.9</v>
      </c>
      <c r="H7" s="535">
        <v>43.3</v>
      </c>
      <c r="I7" s="535">
        <v>46.8</v>
      </c>
      <c r="J7" s="536">
        <v>48.1</v>
      </c>
      <c r="K7" s="535">
        <v>47.7</v>
      </c>
      <c r="L7" s="535">
        <v>48.7</v>
      </c>
      <c r="M7" s="537">
        <v>49.3</v>
      </c>
      <c r="N7" s="537">
        <v>50.3</v>
      </c>
      <c r="O7" s="537">
        <v>50.3</v>
      </c>
      <c r="P7" s="537">
        <v>51.4</v>
      </c>
      <c r="Q7" s="538">
        <f>SUM(P7)-O7</f>
        <v>1.1000000000000014</v>
      </c>
    </row>
    <row r="8" spans="2:17" ht="12.75" thickBot="1" x14ac:dyDescent="0.25">
      <c r="B8" s="539" t="s">
        <v>437</v>
      </c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541"/>
    </row>
    <row r="9" spans="2:17" ht="12.75" thickTop="1" x14ac:dyDescent="0.2">
      <c r="B9" s="542" t="s">
        <v>429</v>
      </c>
      <c r="C9" s="543">
        <v>18.2</v>
      </c>
      <c r="D9" s="543">
        <v>16.899999999999999</v>
      </c>
      <c r="E9" s="543">
        <v>15.6</v>
      </c>
      <c r="F9" s="543">
        <v>16.5</v>
      </c>
      <c r="G9" s="544">
        <v>17.399999999999999</v>
      </c>
      <c r="H9" s="543">
        <v>16.3</v>
      </c>
      <c r="I9" s="543">
        <v>21.5</v>
      </c>
      <c r="J9" s="544">
        <v>24.4</v>
      </c>
      <c r="K9" s="545">
        <v>24.2</v>
      </c>
      <c r="L9" s="545">
        <v>24.3</v>
      </c>
      <c r="M9" s="546">
        <v>20.2</v>
      </c>
      <c r="N9" s="546">
        <v>18.7</v>
      </c>
      <c r="O9" s="546">
        <v>20.100000000000001</v>
      </c>
      <c r="P9" s="546">
        <v>22</v>
      </c>
      <c r="Q9" s="547">
        <f>SUM(P9)-O9</f>
        <v>1.8999999999999986</v>
      </c>
    </row>
    <row r="10" spans="2:17" x14ac:dyDescent="0.2">
      <c r="B10" s="548" t="s">
        <v>436</v>
      </c>
      <c r="C10" s="549">
        <v>54.2</v>
      </c>
      <c r="D10" s="549">
        <v>53.4</v>
      </c>
      <c r="E10" s="549">
        <v>54.4</v>
      </c>
      <c r="F10" s="549">
        <v>55</v>
      </c>
      <c r="G10" s="550">
        <v>56</v>
      </c>
      <c r="H10" s="549">
        <v>57.9</v>
      </c>
      <c r="I10" s="549">
        <v>62.3</v>
      </c>
      <c r="J10" s="550">
        <v>64.099999999999994</v>
      </c>
      <c r="K10" s="549">
        <v>64.400000000000006</v>
      </c>
      <c r="L10" s="549">
        <v>66.2</v>
      </c>
      <c r="M10" s="551">
        <v>67.3</v>
      </c>
      <c r="N10" s="551">
        <v>69</v>
      </c>
      <c r="O10" s="551">
        <v>69.2</v>
      </c>
      <c r="P10" s="551">
        <v>71.400000000000006</v>
      </c>
      <c r="Q10" s="552">
        <f>SUM(P10)-O10</f>
        <v>2.2000000000000028</v>
      </c>
    </row>
    <row r="11" spans="2:17" ht="12.75" thickBot="1" x14ac:dyDescent="0.25">
      <c r="B11" s="548" t="s">
        <v>438</v>
      </c>
      <c r="C11" s="549">
        <v>22.8</v>
      </c>
      <c r="D11" s="549">
        <v>23.4</v>
      </c>
      <c r="E11" s="549">
        <v>23.9</v>
      </c>
      <c r="F11" s="549">
        <v>24.2</v>
      </c>
      <c r="G11" s="550">
        <v>24.3</v>
      </c>
      <c r="H11" s="549">
        <v>26.2</v>
      </c>
      <c r="I11" s="549">
        <v>28.3</v>
      </c>
      <c r="J11" s="550">
        <v>29</v>
      </c>
      <c r="K11" s="549">
        <v>28.8</v>
      </c>
      <c r="L11" s="549">
        <v>29</v>
      </c>
      <c r="M11" s="551">
        <v>30.3</v>
      </c>
      <c r="N11" s="551">
        <v>32.1</v>
      </c>
      <c r="O11" s="551">
        <v>32.1</v>
      </c>
      <c r="P11" s="551">
        <v>32.799999999999997</v>
      </c>
      <c r="Q11" s="552">
        <f>SUM(P11)-O11</f>
        <v>0.69999999999999574</v>
      </c>
    </row>
    <row r="12" spans="2:17" ht="12.75" thickBot="1" x14ac:dyDescent="0.25">
      <c r="B12" s="539" t="s">
        <v>430</v>
      </c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1"/>
    </row>
    <row r="13" spans="2:17" ht="12.75" thickTop="1" x14ac:dyDescent="0.2">
      <c r="B13" s="542" t="s">
        <v>7</v>
      </c>
      <c r="C13" s="543">
        <v>76.099999999999994</v>
      </c>
      <c r="D13" s="543">
        <v>74.5</v>
      </c>
      <c r="E13" s="543">
        <v>73.400000000000006</v>
      </c>
      <c r="F13" s="543">
        <v>72.7</v>
      </c>
      <c r="G13" s="544">
        <v>73.2</v>
      </c>
      <c r="H13" s="543">
        <v>73.3</v>
      </c>
      <c r="I13" s="543">
        <v>75.400000000000006</v>
      </c>
      <c r="J13" s="544">
        <v>76.900000000000006</v>
      </c>
      <c r="K13" s="545">
        <v>76.3</v>
      </c>
      <c r="L13" s="545">
        <v>77.900000000000006</v>
      </c>
      <c r="M13" s="546">
        <v>77.5</v>
      </c>
      <c r="N13" s="546">
        <v>77.400000000000006</v>
      </c>
      <c r="O13" s="546">
        <v>78.7</v>
      </c>
      <c r="P13" s="546">
        <v>78.2</v>
      </c>
      <c r="Q13" s="547">
        <f>SUM(P13)-O13</f>
        <v>-0.5</v>
      </c>
    </row>
    <row r="14" spans="2:17" x14ac:dyDescent="0.2">
      <c r="B14" s="548" t="s">
        <v>8</v>
      </c>
      <c r="C14" s="549">
        <v>54</v>
      </c>
      <c r="D14" s="549">
        <v>52.5</v>
      </c>
      <c r="E14" s="549">
        <v>53.3</v>
      </c>
      <c r="F14" s="549">
        <v>54.1</v>
      </c>
      <c r="G14" s="550">
        <v>52.8</v>
      </c>
      <c r="H14" s="549">
        <v>53.4</v>
      </c>
      <c r="I14" s="549">
        <v>57.3</v>
      </c>
      <c r="J14" s="550">
        <v>56.1</v>
      </c>
      <c r="K14" s="549">
        <v>54.4</v>
      </c>
      <c r="L14" s="549">
        <v>56.1</v>
      </c>
      <c r="M14" s="551">
        <v>56.4</v>
      </c>
      <c r="N14" s="551">
        <v>57.2</v>
      </c>
      <c r="O14" s="551">
        <v>57.1</v>
      </c>
      <c r="P14" s="551">
        <v>57.1</v>
      </c>
      <c r="Q14" s="552">
        <f>SUM(P14)-O14</f>
        <v>0</v>
      </c>
    </row>
    <row r="15" spans="2:17" x14ac:dyDescent="0.2">
      <c r="B15" s="548" t="s">
        <v>9</v>
      </c>
      <c r="C15" s="549">
        <v>32.299999999999997</v>
      </c>
      <c r="D15" s="549">
        <v>32.9</v>
      </c>
      <c r="E15" s="549">
        <v>32.5</v>
      </c>
      <c r="F15" s="549">
        <v>33.5</v>
      </c>
      <c r="G15" s="550">
        <v>33.1</v>
      </c>
      <c r="H15" s="549">
        <v>34.299999999999997</v>
      </c>
      <c r="I15" s="549">
        <v>39</v>
      </c>
      <c r="J15" s="550">
        <v>43</v>
      </c>
      <c r="K15" s="549">
        <v>45.2</v>
      </c>
      <c r="L15" s="549">
        <v>41.7</v>
      </c>
      <c r="M15" s="551">
        <v>40.9</v>
      </c>
      <c r="N15" s="551">
        <v>42.1</v>
      </c>
      <c r="O15" s="551">
        <v>42.4</v>
      </c>
      <c r="P15" s="551">
        <v>45.3</v>
      </c>
      <c r="Q15" s="552">
        <f>SUM(P15)-O15</f>
        <v>2.8999999999999986</v>
      </c>
    </row>
    <row r="16" spans="2:17" x14ac:dyDescent="0.2">
      <c r="B16" s="548" t="s">
        <v>10</v>
      </c>
      <c r="C16" s="549">
        <v>45.1</v>
      </c>
      <c r="D16" s="549">
        <v>45.3</v>
      </c>
      <c r="E16" s="549">
        <v>44.1</v>
      </c>
      <c r="F16" s="549">
        <v>42.5</v>
      </c>
      <c r="G16" s="550">
        <v>42.5</v>
      </c>
      <c r="H16" s="549">
        <v>45.2</v>
      </c>
      <c r="I16" s="549">
        <v>46.5</v>
      </c>
      <c r="J16" s="550">
        <v>46.6</v>
      </c>
      <c r="K16" s="549">
        <v>46.3</v>
      </c>
      <c r="L16" s="549">
        <v>47.6</v>
      </c>
      <c r="M16" s="551">
        <v>47.4</v>
      </c>
      <c r="N16" s="551">
        <v>48.7</v>
      </c>
      <c r="O16" s="551">
        <v>45.6</v>
      </c>
      <c r="P16" s="551">
        <v>43.8</v>
      </c>
      <c r="Q16" s="552">
        <f>SUM(P16)-O16</f>
        <v>-1.8000000000000043</v>
      </c>
    </row>
    <row r="17" spans="2:17" ht="24.75" thickBot="1" x14ac:dyDescent="0.25">
      <c r="B17" s="553" t="s">
        <v>431</v>
      </c>
      <c r="C17" s="554">
        <v>7.6</v>
      </c>
      <c r="D17" s="554">
        <v>7.8</v>
      </c>
      <c r="E17" s="554">
        <v>7.4</v>
      </c>
      <c r="F17" s="554">
        <v>7.1</v>
      </c>
      <c r="G17" s="555">
        <v>7</v>
      </c>
      <c r="H17" s="554">
        <v>7.1</v>
      </c>
      <c r="I17" s="554">
        <v>7.6</v>
      </c>
      <c r="J17" s="555">
        <v>7.6</v>
      </c>
      <c r="K17" s="554">
        <v>7.9</v>
      </c>
      <c r="L17" s="554">
        <v>8.8000000000000007</v>
      </c>
      <c r="M17" s="556">
        <v>9.8000000000000007</v>
      </c>
      <c r="N17" s="556">
        <v>11.4</v>
      </c>
      <c r="O17" s="556">
        <v>10.6</v>
      </c>
      <c r="P17" s="556">
        <v>11.6</v>
      </c>
      <c r="Q17" s="557">
        <f>SUM(P17)-O17</f>
        <v>1</v>
      </c>
    </row>
    <row r="18" spans="2:17" ht="12.75" thickBot="1" x14ac:dyDescent="0.25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</row>
    <row r="19" spans="2:17" ht="33" customHeight="1" thickBot="1" x14ac:dyDescent="0.25">
      <c r="B19" s="958" t="s">
        <v>3</v>
      </c>
      <c r="C19" s="959" t="s">
        <v>96</v>
      </c>
      <c r="D19" s="959" t="s">
        <v>97</v>
      </c>
      <c r="E19" s="959" t="s">
        <v>98</v>
      </c>
      <c r="F19" s="959" t="s">
        <v>99</v>
      </c>
      <c r="G19" s="960" t="s">
        <v>100</v>
      </c>
      <c r="H19" s="959" t="s">
        <v>101</v>
      </c>
      <c r="I19" s="959" t="s">
        <v>248</v>
      </c>
      <c r="J19" s="960" t="s">
        <v>254</v>
      </c>
      <c r="K19" s="959" t="s">
        <v>290</v>
      </c>
      <c r="L19" s="959" t="s">
        <v>334</v>
      </c>
      <c r="M19" s="961" t="s">
        <v>339</v>
      </c>
      <c r="N19" s="961" t="s">
        <v>384</v>
      </c>
      <c r="O19" s="961" t="s">
        <v>435</v>
      </c>
      <c r="P19" s="961" t="s">
        <v>497</v>
      </c>
      <c r="Q19" s="962" t="s">
        <v>102</v>
      </c>
    </row>
    <row r="20" spans="2:17" ht="12.75" thickBot="1" x14ac:dyDescent="0.25">
      <c r="B20" s="529"/>
      <c r="C20" s="530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0"/>
      <c r="P20" s="530"/>
      <c r="Q20" s="531"/>
    </row>
    <row r="21" spans="2:17" ht="13.5" thickTop="1" thickBot="1" x14ac:dyDescent="0.25">
      <c r="B21" s="532" t="s">
        <v>440</v>
      </c>
      <c r="C21" s="533">
        <v>48.3</v>
      </c>
      <c r="D21" s="533">
        <v>48.6</v>
      </c>
      <c r="E21" s="533">
        <v>48.9</v>
      </c>
      <c r="F21" s="533">
        <v>48.9</v>
      </c>
      <c r="G21" s="534">
        <v>50.1</v>
      </c>
      <c r="H21" s="535">
        <v>51.1</v>
      </c>
      <c r="I21" s="535">
        <v>52.1</v>
      </c>
      <c r="J21" s="536">
        <v>53.2</v>
      </c>
      <c r="K21" s="535">
        <v>53.9</v>
      </c>
      <c r="L21" s="535">
        <v>54.1</v>
      </c>
      <c r="M21" s="537">
        <v>54</v>
      </c>
      <c r="N21" s="537">
        <v>55.8</v>
      </c>
      <c r="O21" s="537">
        <v>56.3</v>
      </c>
      <c r="P21" s="537">
        <v>57</v>
      </c>
      <c r="Q21" s="538">
        <f>SUM(P21)-O21</f>
        <v>0.70000000000000284</v>
      </c>
    </row>
    <row r="22" spans="2:17" ht="12.75" thickBot="1" x14ac:dyDescent="0.25">
      <c r="B22" s="539" t="s">
        <v>437</v>
      </c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0"/>
      <c r="Q22" s="541"/>
    </row>
    <row r="23" spans="2:17" ht="12.75" thickTop="1" x14ac:dyDescent="0.2">
      <c r="B23" s="542" t="s">
        <v>429</v>
      </c>
      <c r="C23" s="543">
        <v>26</v>
      </c>
      <c r="D23" s="543">
        <v>24.5</v>
      </c>
      <c r="E23" s="543">
        <v>24.3</v>
      </c>
      <c r="F23" s="543">
        <v>23.9</v>
      </c>
      <c r="G23" s="544">
        <v>25.5</v>
      </c>
      <c r="H23" s="543">
        <v>25.7</v>
      </c>
      <c r="I23" s="543">
        <v>28.1</v>
      </c>
      <c r="J23" s="544">
        <v>29.4</v>
      </c>
      <c r="K23" s="545">
        <v>30.8</v>
      </c>
      <c r="L23" s="545">
        <v>31.7</v>
      </c>
      <c r="M23" s="546">
        <v>28.2</v>
      </c>
      <c r="N23" s="546">
        <v>27.3</v>
      </c>
      <c r="O23" s="546">
        <v>27.8</v>
      </c>
      <c r="P23" s="546">
        <v>28.7</v>
      </c>
      <c r="Q23" s="547">
        <f>SUM(P23)-O23</f>
        <v>0.89999999999999858</v>
      </c>
    </row>
    <row r="24" spans="2:17" x14ac:dyDescent="0.2">
      <c r="B24" s="548" t="s">
        <v>436</v>
      </c>
      <c r="C24" s="549">
        <v>62.5</v>
      </c>
      <c r="D24" s="549">
        <v>63.1</v>
      </c>
      <c r="E24" s="549">
        <v>63.7</v>
      </c>
      <c r="F24" s="549">
        <v>64.099999999999994</v>
      </c>
      <c r="G24" s="550">
        <v>66</v>
      </c>
      <c r="H24" s="549">
        <v>67.3</v>
      </c>
      <c r="I24" s="549">
        <v>69.3</v>
      </c>
      <c r="J24" s="550">
        <v>71.2</v>
      </c>
      <c r="K24" s="549">
        <v>72.8</v>
      </c>
      <c r="L24" s="549">
        <v>73.8</v>
      </c>
      <c r="M24" s="551">
        <v>74</v>
      </c>
      <c r="N24" s="551">
        <v>76.599999999999994</v>
      </c>
      <c r="O24" s="551">
        <v>77.8</v>
      </c>
      <c r="P24" s="551">
        <v>78.900000000000006</v>
      </c>
      <c r="Q24" s="552">
        <f>SUM(P24)-O24</f>
        <v>1.1000000000000085</v>
      </c>
    </row>
    <row r="25" spans="2:17" ht="12.75" thickBot="1" x14ac:dyDescent="0.25">
      <c r="B25" s="548" t="s">
        <v>438</v>
      </c>
      <c r="C25" s="549">
        <v>28.2</v>
      </c>
      <c r="D25" s="549">
        <v>29.2</v>
      </c>
      <c r="E25" s="549">
        <v>29.7</v>
      </c>
      <c r="F25" s="549">
        <v>30</v>
      </c>
      <c r="G25" s="550">
        <v>30.8</v>
      </c>
      <c r="H25" s="549">
        <v>31.5</v>
      </c>
      <c r="I25" s="549">
        <v>31.8</v>
      </c>
      <c r="J25" s="550">
        <v>32.6</v>
      </c>
      <c r="K25" s="549">
        <v>32.4</v>
      </c>
      <c r="L25" s="549">
        <v>32.200000000000003</v>
      </c>
      <c r="M25" s="551">
        <v>32.6</v>
      </c>
      <c r="N25" s="551">
        <v>34.700000000000003</v>
      </c>
      <c r="O25" s="551">
        <v>35.1</v>
      </c>
      <c r="P25" s="551">
        <v>35.700000000000003</v>
      </c>
      <c r="Q25" s="552">
        <f>SUM(P25)-O25</f>
        <v>0.60000000000000142</v>
      </c>
    </row>
    <row r="26" spans="2:17" ht="12.75" thickBot="1" x14ac:dyDescent="0.25">
      <c r="B26" s="539" t="s">
        <v>430</v>
      </c>
      <c r="C26" s="540"/>
      <c r="D26" s="540"/>
      <c r="E26" s="540"/>
      <c r="F26" s="540"/>
      <c r="G26" s="540"/>
      <c r="H26" s="540"/>
      <c r="I26" s="540"/>
      <c r="J26" s="540"/>
      <c r="K26" s="540"/>
      <c r="L26" s="540"/>
      <c r="M26" s="540"/>
      <c r="N26" s="540"/>
      <c r="O26" s="540"/>
      <c r="P26" s="540"/>
      <c r="Q26" s="541"/>
    </row>
    <row r="27" spans="2:17" ht="12.75" thickTop="1" x14ac:dyDescent="0.2">
      <c r="B27" s="542" t="s">
        <v>7</v>
      </c>
      <c r="C27" s="543">
        <v>76.900000000000006</v>
      </c>
      <c r="D27" s="543">
        <v>76.400000000000006</v>
      </c>
      <c r="E27" s="543">
        <v>76.099999999999994</v>
      </c>
      <c r="F27" s="543">
        <v>76.099999999999994</v>
      </c>
      <c r="G27" s="544">
        <v>76.8</v>
      </c>
      <c r="H27" s="543">
        <v>77.599999999999994</v>
      </c>
      <c r="I27" s="543">
        <v>78.2</v>
      </c>
      <c r="J27" s="544">
        <v>78.599999999999994</v>
      </c>
      <c r="K27" s="545">
        <v>79.2</v>
      </c>
      <c r="L27" s="545">
        <v>79.099999999999994</v>
      </c>
      <c r="M27" s="546">
        <v>78.7</v>
      </c>
      <c r="N27" s="546">
        <v>79.7</v>
      </c>
      <c r="O27" s="546">
        <v>80.099999999999994</v>
      </c>
      <c r="P27" s="546">
        <v>80.7</v>
      </c>
      <c r="Q27" s="547">
        <f>SUM(P27)-O27</f>
        <v>0.60000000000000853</v>
      </c>
    </row>
    <row r="28" spans="2:17" x14ac:dyDescent="0.2">
      <c r="B28" s="548" t="s">
        <v>8</v>
      </c>
      <c r="C28" s="549">
        <v>59.7</v>
      </c>
      <c r="D28" s="549">
        <v>59.8</v>
      </c>
      <c r="E28" s="549">
        <v>59.4</v>
      </c>
      <c r="F28" s="549">
        <v>58.5</v>
      </c>
      <c r="G28" s="550">
        <v>58.9</v>
      </c>
      <c r="H28" s="549">
        <v>59.1</v>
      </c>
      <c r="I28" s="549">
        <v>60.2</v>
      </c>
      <c r="J28" s="550">
        <v>60.2</v>
      </c>
      <c r="K28" s="549">
        <v>59.5</v>
      </c>
      <c r="L28" s="549">
        <v>59.2</v>
      </c>
      <c r="M28" s="551">
        <v>58.1</v>
      </c>
      <c r="N28" s="551">
        <v>59.6</v>
      </c>
      <c r="O28" s="551">
        <v>59.9</v>
      </c>
      <c r="P28" s="551">
        <v>58.9</v>
      </c>
      <c r="Q28" s="552">
        <f>SUM(P28)-O28</f>
        <v>-1</v>
      </c>
    </row>
    <row r="29" spans="2:17" x14ac:dyDescent="0.2">
      <c r="B29" s="548" t="s">
        <v>9</v>
      </c>
      <c r="C29" s="549">
        <v>41</v>
      </c>
      <c r="D29" s="549">
        <v>40.799999999999997</v>
      </c>
      <c r="E29" s="549">
        <v>41.5</v>
      </c>
      <c r="F29" s="549">
        <v>41.8</v>
      </c>
      <c r="G29" s="550">
        <v>43.4</v>
      </c>
      <c r="H29" s="549">
        <v>43.9</v>
      </c>
      <c r="I29" s="549">
        <v>45.7</v>
      </c>
      <c r="J29" s="550">
        <v>47.6</v>
      </c>
      <c r="K29" s="549">
        <v>49.3</v>
      </c>
      <c r="L29" s="549">
        <v>49.9</v>
      </c>
      <c r="M29" s="551">
        <v>49.2</v>
      </c>
      <c r="N29" s="551">
        <v>51</v>
      </c>
      <c r="O29" s="551">
        <v>52.5</v>
      </c>
      <c r="P29" s="551">
        <v>53.6</v>
      </c>
      <c r="Q29" s="552">
        <f>SUM(P29)-O29</f>
        <v>1.1000000000000014</v>
      </c>
    </row>
    <row r="30" spans="2:17" x14ac:dyDescent="0.2">
      <c r="B30" s="548" t="s">
        <v>10</v>
      </c>
      <c r="C30" s="549">
        <v>53</v>
      </c>
      <c r="D30" s="549">
        <v>52.6</v>
      </c>
      <c r="E30" s="549">
        <v>51.5</v>
      </c>
      <c r="F30" s="549">
        <v>50.6</v>
      </c>
      <c r="G30" s="550">
        <v>51.4</v>
      </c>
      <c r="H30" s="549">
        <v>52</v>
      </c>
      <c r="I30" s="549">
        <v>52.2</v>
      </c>
      <c r="J30" s="550">
        <v>52.8</v>
      </c>
      <c r="K30" s="549">
        <v>52.7</v>
      </c>
      <c r="L30" s="549">
        <v>51.7</v>
      </c>
      <c r="M30" s="551">
        <v>51.3</v>
      </c>
      <c r="N30" s="551">
        <v>53.2</v>
      </c>
      <c r="O30" s="551">
        <v>53.2</v>
      </c>
      <c r="P30" s="551">
        <v>51.5</v>
      </c>
      <c r="Q30" s="552">
        <f>SUM(P30)-O30</f>
        <v>-1.7000000000000028</v>
      </c>
    </row>
    <row r="31" spans="2:17" ht="24.75" thickBot="1" x14ac:dyDescent="0.25">
      <c r="B31" s="553" t="s">
        <v>431</v>
      </c>
      <c r="C31" s="554">
        <v>13.5</v>
      </c>
      <c r="D31" s="554">
        <v>13.5</v>
      </c>
      <c r="E31" s="554">
        <v>13.5</v>
      </c>
      <c r="F31" s="554">
        <v>13</v>
      </c>
      <c r="G31" s="555">
        <v>13.3</v>
      </c>
      <c r="H31" s="554">
        <v>13.8</v>
      </c>
      <c r="I31" s="554">
        <v>13.7</v>
      </c>
      <c r="J31" s="555">
        <v>14.2</v>
      </c>
      <c r="K31" s="554">
        <v>14.5</v>
      </c>
      <c r="L31" s="554">
        <v>15.2</v>
      </c>
      <c r="M31" s="556">
        <v>14.7</v>
      </c>
      <c r="N31" s="556">
        <v>16.5</v>
      </c>
      <c r="O31" s="556">
        <v>16.3</v>
      </c>
      <c r="P31" s="556">
        <v>15.5</v>
      </c>
      <c r="Q31" s="557">
        <f>SUM(P31)-O31</f>
        <v>-0.80000000000000071</v>
      </c>
    </row>
    <row r="32" spans="2:17" x14ac:dyDescent="0.2">
      <c r="B32" s="49" t="s">
        <v>432</v>
      </c>
      <c r="C32" s="49"/>
      <c r="D32" s="49"/>
      <c r="E32" s="49"/>
      <c r="F32" s="49"/>
      <c r="G32" s="49"/>
      <c r="H32" s="49" t="s">
        <v>433</v>
      </c>
      <c r="I32" s="49"/>
      <c r="J32" s="49"/>
      <c r="K32" s="49"/>
      <c r="L32" s="49"/>
      <c r="M32" s="49"/>
      <c r="N32" s="49"/>
      <c r="O32" s="49"/>
      <c r="P32" s="49"/>
      <c r="Q32" s="49"/>
    </row>
    <row r="33" spans="2:20" x14ac:dyDescent="0.2">
      <c r="B33" s="49" t="s">
        <v>434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T33" s="49" t="s">
        <v>391</v>
      </c>
    </row>
    <row r="34" spans="2:20" x14ac:dyDescent="0.2">
      <c r="T34" s="49" t="s">
        <v>392</v>
      </c>
    </row>
    <row r="35" spans="2:20" x14ac:dyDescent="0.2">
      <c r="T35" s="49" t="s">
        <v>393</v>
      </c>
    </row>
    <row r="36" spans="2:20" x14ac:dyDescent="0.2">
      <c r="T36" s="49" t="s">
        <v>394</v>
      </c>
    </row>
    <row r="37" spans="2:20" x14ac:dyDescent="0.2">
      <c r="T37" s="49" t="s">
        <v>395</v>
      </c>
    </row>
  </sheetData>
  <pageMargins left="0.7" right="0.7" top="0.75" bottom="0.75" header="0.3" footer="0.3"/>
  <pageSetup paperSize="9" scale="51" orientation="landscape" r:id="rId1"/>
  <ignoredErrors>
    <ignoredError sqref="C19:F19 G19:P19 C5:P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B1:R30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2.7109375" style="11" customWidth="1"/>
    <col min="3" max="3" width="19.28515625" style="11" customWidth="1"/>
    <col min="4" max="4" width="13.28515625" style="11" customWidth="1"/>
    <col min="5" max="5" width="13.5703125" style="11" customWidth="1"/>
    <col min="6" max="6" width="14.5703125" style="11" customWidth="1"/>
    <col min="7" max="7" width="17.42578125" style="11" customWidth="1"/>
    <col min="8" max="8" width="19.5703125" style="11" customWidth="1"/>
    <col min="9" max="9" width="16.5703125" style="11" customWidth="1"/>
    <col min="10" max="10" width="15.85546875" style="11" customWidth="1"/>
    <col min="11" max="11" width="2.5703125" style="11" customWidth="1"/>
    <col min="12" max="12" width="11.140625" style="11" customWidth="1"/>
    <col min="13" max="13" width="11.28515625" style="11" customWidth="1"/>
    <col min="14" max="14" width="3.28515625" style="11" customWidth="1"/>
    <col min="15" max="15" width="21" style="11" customWidth="1"/>
    <col min="16" max="16" width="11.7109375" style="11" customWidth="1"/>
    <col min="17" max="17" width="22.140625" style="11" customWidth="1"/>
    <col min="18" max="18" width="9.42578125" style="11" bestFit="1" customWidth="1"/>
    <col min="19" max="16384" width="9.140625" style="11"/>
  </cols>
  <sheetData>
    <row r="1" spans="2:18" x14ac:dyDescent="0.25">
      <c r="B1" s="11" t="s">
        <v>545</v>
      </c>
    </row>
    <row r="2" spans="2:18" x14ac:dyDescent="0.25">
      <c r="B2" s="11" t="s">
        <v>546</v>
      </c>
    </row>
    <row r="3" spans="2:18" ht="15.75" thickBot="1" x14ac:dyDescent="0.3">
      <c r="B3" s="11" t="s">
        <v>547</v>
      </c>
    </row>
    <row r="4" spans="2:18" ht="166.5" customHeight="1" thickBot="1" x14ac:dyDescent="0.3">
      <c r="B4" s="823" t="s">
        <v>13</v>
      </c>
      <c r="C4" s="644" t="s">
        <v>488</v>
      </c>
      <c r="D4" s="854" t="s">
        <v>370</v>
      </c>
      <c r="E4" s="645" t="s">
        <v>475</v>
      </c>
      <c r="F4" s="857" t="s">
        <v>386</v>
      </c>
      <c r="G4" s="645" t="s">
        <v>388</v>
      </c>
      <c r="H4" s="822" t="s">
        <v>489</v>
      </c>
      <c r="I4" s="855" t="s">
        <v>371</v>
      </c>
      <c r="J4" s="856" t="s">
        <v>387</v>
      </c>
      <c r="K4" s="853"/>
      <c r="L4" s="648" t="s">
        <v>477</v>
      </c>
      <c r="M4" s="620" t="s">
        <v>476</v>
      </c>
    </row>
    <row r="5" spans="2:18" ht="24.75" customHeight="1" thickBot="1" x14ac:dyDescent="0.3">
      <c r="B5" s="622" t="s">
        <v>14</v>
      </c>
      <c r="C5" s="624">
        <f>SUM(C6:C30)</f>
        <v>54840</v>
      </c>
      <c r="D5" s="646">
        <f>SUM(D6:D30)</f>
        <v>487</v>
      </c>
      <c r="E5" s="630">
        <f>SUM(D5/C5)*100</f>
        <v>0.88803792851932895</v>
      </c>
      <c r="F5" s="624">
        <f>SUM(F6:F30)</f>
        <v>418</v>
      </c>
      <c r="G5" s="630">
        <f>(F5/D5)*100</f>
        <v>85.831622176591367</v>
      </c>
      <c r="H5" s="625">
        <f>SUM(H6:H26)</f>
        <v>1530</v>
      </c>
      <c r="I5" s="647">
        <f>SUM(I6:I30)</f>
        <v>24</v>
      </c>
      <c r="J5" s="626">
        <f>SUM(J6:J30)</f>
        <v>15</v>
      </c>
      <c r="K5" s="853"/>
      <c r="L5" s="649" t="s">
        <v>93</v>
      </c>
      <c r="M5" s="650" t="s">
        <v>93</v>
      </c>
      <c r="O5" s="651" t="s">
        <v>389</v>
      </c>
      <c r="P5" s="651"/>
      <c r="Q5" s="651" t="s">
        <v>390</v>
      </c>
      <c r="R5" s="651"/>
    </row>
    <row r="6" spans="2:18" ht="16.5" customHeight="1" x14ac:dyDescent="0.25">
      <c r="B6" s="454" t="s">
        <v>15</v>
      </c>
      <c r="C6" s="36">
        <f>SUM(T.II!E8)</f>
        <v>1031</v>
      </c>
      <c r="D6" s="113">
        <v>12</v>
      </c>
      <c r="E6" s="455">
        <f t="shared" ref="E6:E25" si="0">SUM(D6/C6)*100</f>
        <v>1.1639185257032008</v>
      </c>
      <c r="F6" s="36">
        <v>9</v>
      </c>
      <c r="G6" s="37">
        <f>(F6/D6)*100</f>
        <v>75</v>
      </c>
      <c r="H6" s="38">
        <v>21</v>
      </c>
      <c r="I6" s="112">
        <v>0</v>
      </c>
      <c r="J6" s="456">
        <v>0</v>
      </c>
      <c r="K6" s="853"/>
      <c r="L6" s="457">
        <f>RANK(E6,E6:E26,0)+COUNTIF($E$6:$E$6,E6)-1</f>
        <v>5</v>
      </c>
      <c r="M6" s="458">
        <f>RANK(E6,E6:E26,1)+COUNTIF($E$6:$E$6,E6)-1</f>
        <v>17</v>
      </c>
      <c r="O6" s="444" t="str">
        <f>INDEX(B6:J26,MATCH(1,L6:L26,0),1)</f>
        <v>rzeszowski + mnpp</v>
      </c>
      <c r="P6" s="296">
        <f>INDEX(B6:J26,MATCH(1,L6:L26,0),4)</f>
        <v>2.893963373276057</v>
      </c>
      <c r="Q6" s="135" t="str">
        <f>INDEX(B6:J26,MATCH(1,M6:M26,0),1)</f>
        <v>strzyżowski</v>
      </c>
      <c r="R6" s="296">
        <f>INDEX(B6:J26,MATCH(1,M6:M26,0),4)</f>
        <v>6.6489361702127658E-2</v>
      </c>
    </row>
    <row r="7" spans="2:18" ht="15" customHeight="1" x14ac:dyDescent="0.25">
      <c r="B7" s="12" t="s">
        <v>16</v>
      </c>
      <c r="C7" s="13">
        <f>SUM(T.II!E9)</f>
        <v>3405</v>
      </c>
      <c r="D7" s="14">
        <v>4</v>
      </c>
      <c r="E7" s="453">
        <f t="shared" si="0"/>
        <v>0.11747430249632893</v>
      </c>
      <c r="F7" s="13">
        <v>3</v>
      </c>
      <c r="G7" s="25">
        <f t="shared" ref="G7:G14" si="1">(F7/D7)*100</f>
        <v>75</v>
      </c>
      <c r="H7" s="32">
        <v>27</v>
      </c>
      <c r="I7" s="87">
        <v>0</v>
      </c>
      <c r="J7" s="15">
        <v>0</v>
      </c>
      <c r="K7" s="853"/>
      <c r="L7" s="50">
        <f>RANK(E7,E6:$E$26,0)+COUNTIF($E$6:$E$7,E7)-1</f>
        <v>20</v>
      </c>
      <c r="M7" s="338">
        <f>RANK(E7,$E6:E$26,1)+COUNTIF($E$6:$E$7,E7)-1</f>
        <v>2</v>
      </c>
      <c r="O7" s="444" t="str">
        <f>INDEX(B6:J26,MATCH(2,L6:L26,0),1)</f>
        <v>przemyski + mnpp</v>
      </c>
      <c r="P7" s="296">
        <f>INDEX(B6:J26,MATCH(2,L6:L26,0),4)</f>
        <v>2.6558465510881595</v>
      </c>
      <c r="Q7" s="135" t="str">
        <f>INDEX(B6:J26,MATCH(2,M6:M26,0),1)</f>
        <v>brzozowski</v>
      </c>
      <c r="R7" s="296">
        <f>INDEX(B6:J26,MATCH(2,M6:M26,0),4)</f>
        <v>0.11747430249632893</v>
      </c>
    </row>
    <row r="8" spans="2:18" ht="15" customHeight="1" x14ac:dyDescent="0.25">
      <c r="B8" s="12" t="s">
        <v>17</v>
      </c>
      <c r="C8" s="13">
        <f>SUM(T.II!E10)</f>
        <v>2260</v>
      </c>
      <c r="D8" s="14">
        <v>19</v>
      </c>
      <c r="E8" s="453">
        <f t="shared" si="0"/>
        <v>0.84070796460176989</v>
      </c>
      <c r="F8" s="13">
        <v>20</v>
      </c>
      <c r="G8" s="25">
        <f t="shared" si="1"/>
        <v>105.26315789473684</v>
      </c>
      <c r="H8" s="32">
        <v>46</v>
      </c>
      <c r="I8" s="87">
        <v>3</v>
      </c>
      <c r="J8" s="15">
        <v>2</v>
      </c>
      <c r="K8" s="853"/>
      <c r="L8" s="50">
        <f>RANK(E8,E6:$E$26,0)+COUNTIF($E$6:$E$8,E8)-1</f>
        <v>8</v>
      </c>
      <c r="M8" s="338">
        <f>RANK(E8,$E6:E$26,1)+COUNTIF($E$6:$E$8,E8)-1</f>
        <v>14</v>
      </c>
      <c r="O8" s="444" t="str">
        <f>INDEX(B6:J26,MATCH(3,L6:L26,0),1)</f>
        <v>krośnieński + mnpp</v>
      </c>
      <c r="P8" s="296">
        <f>INDEX(B6:J26,MATCH(3,L6:L26,0),4)</f>
        <v>1.4513108614232211</v>
      </c>
      <c r="Q8" s="135" t="str">
        <f>INDEX(B6:J26,MATCH(3,M6:M26,0),1)</f>
        <v>kolbuszowski</v>
      </c>
      <c r="R8" s="296">
        <f>INDEX(B6:J26,MATCH(3,M6:M26,0),4)</f>
        <v>0.26507620941020543</v>
      </c>
    </row>
    <row r="9" spans="2:18" ht="15.75" customHeight="1" x14ac:dyDescent="0.25">
      <c r="B9" s="12" t="s">
        <v>18</v>
      </c>
      <c r="C9" s="13">
        <f>SUM(T.II!E11)</f>
        <v>4239</v>
      </c>
      <c r="D9" s="14">
        <v>25</v>
      </c>
      <c r="E9" s="453">
        <f t="shared" si="0"/>
        <v>0.58976173625855155</v>
      </c>
      <c r="F9" s="13">
        <v>22</v>
      </c>
      <c r="G9" s="25">
        <f t="shared" si="1"/>
        <v>88</v>
      </c>
      <c r="H9" s="32">
        <v>93</v>
      </c>
      <c r="I9" s="87">
        <v>0</v>
      </c>
      <c r="J9" s="15">
        <v>0</v>
      </c>
      <c r="K9" s="853"/>
      <c r="L9" s="50">
        <f>RANK(E9,E6:$E$26,0)+COUNTIF($E$6:$E$9,E9)-1</f>
        <v>11</v>
      </c>
      <c r="M9" s="338">
        <f>RANK(E9,$E6:E$26,1)+COUNTIF($E$6:$E$9,E9)-1</f>
        <v>11</v>
      </c>
      <c r="O9" s="444" t="str">
        <f>INDEX(B6:J26,MATCH(4,L6:L26,0),1)</f>
        <v>mielecki</v>
      </c>
      <c r="P9" s="296">
        <f>INDEX(B6:J26,MATCH(4,L6:L26,0),4)</f>
        <v>1.3579387186629526</v>
      </c>
      <c r="Q9" s="135" t="str">
        <f>INDEX(B6:J26,MATCH(4,M6:M26,0),1)</f>
        <v>lubaczowski</v>
      </c>
      <c r="R9" s="296">
        <f>INDEX(B6:J26,MATCH(4,M6:M26,0),4)</f>
        <v>0.31525851197982346</v>
      </c>
    </row>
    <row r="10" spans="2:18" ht="16.5" customHeight="1" x14ac:dyDescent="0.25">
      <c r="B10" s="12" t="s">
        <v>19</v>
      </c>
      <c r="C10" s="13">
        <f>SUM(T.II!E12)</f>
        <v>4693</v>
      </c>
      <c r="D10" s="14">
        <v>18</v>
      </c>
      <c r="E10" s="453">
        <f t="shared" si="0"/>
        <v>0.38354996803750269</v>
      </c>
      <c r="F10" s="13">
        <v>18</v>
      </c>
      <c r="G10" s="25">
        <f t="shared" si="1"/>
        <v>100</v>
      </c>
      <c r="H10" s="32">
        <v>54</v>
      </c>
      <c r="I10" s="87">
        <v>1</v>
      </c>
      <c r="J10" s="15">
        <v>1</v>
      </c>
      <c r="K10" s="853"/>
      <c r="L10" s="50">
        <f>RANK(E10,E6:$E$26,0)+COUNTIF($E$6:$E$10,E10)-1</f>
        <v>16</v>
      </c>
      <c r="M10" s="338">
        <f>RANK(E10,$E6:E$26,1)+COUNTIF($E$6:$E$10,E10)-1</f>
        <v>6</v>
      </c>
      <c r="O10" s="444" t="str">
        <f>INDEX(B6:J26,MATCH(5,L6:L26,0),1)</f>
        <v>bieszczadzki</v>
      </c>
      <c r="P10" s="296">
        <f>INDEX(B6:J26,MATCH(5,L6:L26,0),4)</f>
        <v>1.1639185257032008</v>
      </c>
      <c r="Q10" s="135" t="str">
        <f>INDEX(B6:J26,MATCH(5,M6:M26,0),1)</f>
        <v>leżajski</v>
      </c>
      <c r="R10" s="296">
        <f>INDEX(B6:J26,MATCH(5,M6:M26,0),4)</f>
        <v>0.35599857600569601</v>
      </c>
    </row>
    <row r="11" spans="2:18" ht="15.75" customHeight="1" x14ac:dyDescent="0.25">
      <c r="B11" s="12" t="s">
        <v>20</v>
      </c>
      <c r="C11" s="13">
        <f>SUM(T.II!E13)</f>
        <v>1509</v>
      </c>
      <c r="D11" s="14">
        <v>4</v>
      </c>
      <c r="E11" s="453">
        <f t="shared" si="0"/>
        <v>0.26507620941020543</v>
      </c>
      <c r="F11" s="13">
        <v>1</v>
      </c>
      <c r="G11" s="25">
        <f t="shared" si="1"/>
        <v>25</v>
      </c>
      <c r="H11" s="32">
        <v>39</v>
      </c>
      <c r="I11" s="87">
        <v>0</v>
      </c>
      <c r="J11" s="15">
        <v>0</v>
      </c>
      <c r="K11" s="853"/>
      <c r="L11" s="50">
        <f>RANK(E11,E6:$E$26,0)+COUNTIF($E$6:$E$11,E11)-1</f>
        <v>19</v>
      </c>
      <c r="M11" s="338">
        <f>RANK(E11,$E6:E$26,1)+COUNTIF($E$6:$E$11,E11)-1</f>
        <v>3</v>
      </c>
      <c r="O11" s="444" t="str">
        <f>INDEX(B6:J26,MATCH(6,L6:L26,0),1)</f>
        <v>stalowowolski</v>
      </c>
      <c r="P11" s="296">
        <f>INDEX(B6:J26,MATCH(6,L6:L26,0),4)</f>
        <v>1.021505376344086</v>
      </c>
      <c r="Q11" s="135" t="str">
        <f>INDEX(B6:J26,MATCH(6,M6:M26,0),1)</f>
        <v>jasielski</v>
      </c>
      <c r="R11" s="296">
        <f>INDEX(B6:J26,MATCH(6,M6:M26,0),4)</f>
        <v>0.38354996803750269</v>
      </c>
    </row>
    <row r="12" spans="2:18" ht="15" customHeight="1" x14ac:dyDescent="0.25">
      <c r="B12" s="858" t="s">
        <v>532</v>
      </c>
      <c r="C12" s="859">
        <f>SUM(T.II!E14+E29)</f>
        <v>2136</v>
      </c>
      <c r="D12" s="860">
        <v>31</v>
      </c>
      <c r="E12" s="861">
        <f t="shared" si="0"/>
        <v>1.4513108614232211</v>
      </c>
      <c r="F12" s="862">
        <v>29</v>
      </c>
      <c r="G12" s="863">
        <f t="shared" si="1"/>
        <v>93.548387096774192</v>
      </c>
      <c r="H12" s="864">
        <v>79</v>
      </c>
      <c r="I12" s="865">
        <v>7</v>
      </c>
      <c r="J12" s="866">
        <v>5</v>
      </c>
      <c r="K12" s="853"/>
      <c r="L12" s="867">
        <f>RANK(E12,E6:$E$26,0)+COUNTIF($E$6:$E$12,E12)-1</f>
        <v>3</v>
      </c>
      <c r="M12" s="868">
        <f>RANK(E12,$E6:E$26,1)+COUNTIF($E$6:$E$12,E12)-1</f>
        <v>19</v>
      </c>
      <c r="O12" s="444" t="str">
        <f>INDEX(B6:J26,MATCH(7,L6:L26,0),1)</f>
        <v>sanocki</v>
      </c>
      <c r="P12" s="296">
        <f>INDEX(B6:J26,MATCH(7,L6:L30,0),4)</f>
        <v>0.97781120722075965</v>
      </c>
      <c r="Q12" s="135" t="str">
        <f>INDEX(B6:J26,MATCH(7,M6:M26,0),1)</f>
        <v>przeworski</v>
      </c>
      <c r="R12" s="296">
        <f>INDEX(B6:J26,MATCH(7,M6:M26,0),4)</f>
        <v>0.44289781714647264</v>
      </c>
    </row>
    <row r="13" spans="2:18" x14ac:dyDescent="0.25">
      <c r="B13" s="881" t="s">
        <v>22</v>
      </c>
      <c r="C13" s="882">
        <f>SUM(T.II!E15)</f>
        <v>1531</v>
      </c>
      <c r="D13" s="883">
        <v>11</v>
      </c>
      <c r="E13" s="884">
        <f t="shared" si="0"/>
        <v>0.71848465055519262</v>
      </c>
      <c r="F13" s="882">
        <v>10</v>
      </c>
      <c r="G13" s="885">
        <f t="shared" si="1"/>
        <v>90.909090909090907</v>
      </c>
      <c r="H13" s="886">
        <v>26</v>
      </c>
      <c r="I13" s="887">
        <v>0</v>
      </c>
      <c r="J13" s="888">
        <v>0</v>
      </c>
      <c r="K13" s="853"/>
      <c r="L13" s="889">
        <f>RANK(E13,E6:$E$26,0)+COUNTIF($E$6:$E$13,E13)-1</f>
        <v>10</v>
      </c>
      <c r="M13" s="890">
        <f>RANK(E13,$E6:E$26,1)+COUNTIF($E$6:$E$13,E13)-1</f>
        <v>12</v>
      </c>
      <c r="O13" s="444" t="str">
        <f>INDEX(B6:J26,MATCH(8,L6:L26,0),1)</f>
        <v>dębicki</v>
      </c>
      <c r="P13" s="296">
        <f>INDEX(B6:J26,MATCH(8,L6:L26,0),4)</f>
        <v>0.84070796460176989</v>
      </c>
      <c r="Q13" s="135" t="str">
        <f>INDEX(B6:J26,MATCH(8,M6:M26,0),1)</f>
        <v>niżański</v>
      </c>
      <c r="R13" s="296">
        <f>INDEX(B6:J26,MATCH(8,M6:M26,0),4)</f>
        <v>0.46528274874731562</v>
      </c>
    </row>
    <row r="14" spans="2:18" ht="16.5" customHeight="1" x14ac:dyDescent="0.25">
      <c r="B14" s="12" t="s">
        <v>23</v>
      </c>
      <c r="C14" s="13">
        <f>SUM(T.II!E16)</f>
        <v>2809</v>
      </c>
      <c r="D14" s="14">
        <v>10</v>
      </c>
      <c r="E14" s="453">
        <f t="shared" si="0"/>
        <v>0.35599857600569601</v>
      </c>
      <c r="F14" s="13">
        <v>9</v>
      </c>
      <c r="G14" s="25">
        <f t="shared" si="1"/>
        <v>90</v>
      </c>
      <c r="H14" s="32">
        <v>77</v>
      </c>
      <c r="I14" s="87">
        <v>0</v>
      </c>
      <c r="J14" s="15">
        <v>0</v>
      </c>
      <c r="K14" s="853"/>
      <c r="L14" s="50">
        <f>RANK(E14,E6:$E$26,0)+COUNTIF($E$6:$E$14,E14)-1</f>
        <v>17</v>
      </c>
      <c r="M14" s="338">
        <f>RANK(E14,$E6:E$26,1)+COUNTIF($E$6:$E$14,E14)-1</f>
        <v>5</v>
      </c>
      <c r="O14" s="444" t="str">
        <f>INDEX(B6:J26,MATCH(9,L6:L26,0),1)</f>
        <v>tarnobrzeski + mnpp</v>
      </c>
      <c r="P14" s="296">
        <f>INDEX(B6:J26,MATCH(9,L6:L26,0),4)</f>
        <v>0.75250836120401343</v>
      </c>
      <c r="Q14" s="135" t="str">
        <f>INDEX(B6:J26,MATCH(9,M6:M26,0),1)</f>
        <v>ropczycko-sędziszowski</v>
      </c>
      <c r="R14" s="296">
        <f>INDEX(B6:J26,MATCH(9,M6:M26,0),4)</f>
        <v>0.46948356807511737</v>
      </c>
    </row>
    <row r="15" spans="2:18" x14ac:dyDescent="0.25">
      <c r="B15" s="12" t="s">
        <v>24</v>
      </c>
      <c r="C15" s="13">
        <f>SUM(T.II!E17)</f>
        <v>1586</v>
      </c>
      <c r="D15" s="14">
        <v>5</v>
      </c>
      <c r="E15" s="453">
        <f t="shared" si="0"/>
        <v>0.31525851197982346</v>
      </c>
      <c r="F15" s="13">
        <v>4</v>
      </c>
      <c r="G15" s="25">
        <f t="shared" ref="G15:G24" si="2">(F15/D15)*100</f>
        <v>80</v>
      </c>
      <c r="H15" s="32">
        <v>60</v>
      </c>
      <c r="I15" s="87">
        <v>0</v>
      </c>
      <c r="J15" s="15">
        <v>0</v>
      </c>
      <c r="K15" s="853"/>
      <c r="L15" s="50">
        <f>RANK(E15,E6:$E$26,0)+COUNTIF($E$6:$E$15,E15)-1</f>
        <v>18</v>
      </c>
      <c r="M15" s="338">
        <f>RANK(E15,$E6:E$26,1)+COUNTIF($E$6:$E$15,E15)-1</f>
        <v>4</v>
      </c>
      <c r="O15" s="444" t="str">
        <f>INDEX(B6:J26,MATCH(10,L6:L26,0),1)</f>
        <v>leski</v>
      </c>
      <c r="P15" s="296">
        <f>INDEX(B6:J26,MATCH(10,L6:L26,0),4)</f>
        <v>0.71848465055519262</v>
      </c>
      <c r="Q15" s="135" t="str">
        <f>INDEX(B6:J26,MATCH(10,M6:M26,0),1)</f>
        <v>łańcucki</v>
      </c>
      <c r="R15" s="296">
        <f>INDEX(B6:J26,MATCH(10,M6:M26,0),4)</f>
        <v>0.58309037900874638</v>
      </c>
    </row>
    <row r="16" spans="2:18" x14ac:dyDescent="0.25">
      <c r="B16" s="12" t="s">
        <v>25</v>
      </c>
      <c r="C16" s="13">
        <f>SUM(T.II!E18)</f>
        <v>2401</v>
      </c>
      <c r="D16" s="14">
        <v>14</v>
      </c>
      <c r="E16" s="453">
        <f t="shared" si="0"/>
        <v>0.58309037900874638</v>
      </c>
      <c r="F16" s="13">
        <v>12</v>
      </c>
      <c r="G16" s="25">
        <f t="shared" si="2"/>
        <v>85.714285714285708</v>
      </c>
      <c r="H16" s="32">
        <v>23</v>
      </c>
      <c r="I16" s="87">
        <v>0</v>
      </c>
      <c r="J16" s="15">
        <v>0</v>
      </c>
      <c r="K16" s="853"/>
      <c r="L16" s="50">
        <f>RANK(E16,E6:$E$26,0)+COUNTIF($E$6:$E$16,E16)-1</f>
        <v>12</v>
      </c>
      <c r="M16" s="338">
        <f>RANK(E16,$E6:E$26,1)+COUNTIF($E$6:$E$16,E16)-1</f>
        <v>10</v>
      </c>
      <c r="O16" s="444" t="str">
        <f>INDEX(B6:J26,MATCH(11,L6:L26,0),1)</f>
        <v>jarosławski</v>
      </c>
      <c r="P16" s="296">
        <f>INDEX(B6:J26,MATCH(11,L6:L26,0),4)</f>
        <v>0.58976173625855155</v>
      </c>
      <c r="Q16" s="135" t="str">
        <f>INDEX(B6:J26,MATCH(11,M6:M26,0),1)</f>
        <v>jarosławski</v>
      </c>
      <c r="R16" s="296">
        <f>INDEX(B6:J26,MATCH(11,M6:M26,0),4)</f>
        <v>0.58976173625855155</v>
      </c>
    </row>
    <row r="17" spans="2:18" x14ac:dyDescent="0.25">
      <c r="B17" s="12" t="s">
        <v>26</v>
      </c>
      <c r="C17" s="13">
        <f>SUM(T.II!E19)</f>
        <v>2872</v>
      </c>
      <c r="D17" s="14">
        <v>39</v>
      </c>
      <c r="E17" s="453">
        <f t="shared" si="0"/>
        <v>1.3579387186629526</v>
      </c>
      <c r="F17" s="13">
        <v>35</v>
      </c>
      <c r="G17" s="25">
        <f t="shared" si="2"/>
        <v>89.743589743589752</v>
      </c>
      <c r="H17" s="32">
        <v>50</v>
      </c>
      <c r="I17" s="87">
        <v>0</v>
      </c>
      <c r="J17" s="15">
        <v>0</v>
      </c>
      <c r="K17" s="853"/>
      <c r="L17" s="50">
        <f>RANK(E17,E6:$E$26,0)+COUNTIF($E$6:$E$17,E17)-1</f>
        <v>4</v>
      </c>
      <c r="M17" s="338">
        <f>RANK(E17,$E6:E$26,1)+COUNTIF($E$6:$E$17,E17)-1</f>
        <v>18</v>
      </c>
      <c r="O17" s="444" t="str">
        <f>INDEX(B6:J26,MATCH(12,L6:L26,0),1)</f>
        <v>łańcucki</v>
      </c>
      <c r="P17" s="296">
        <f>INDEX(B6:J26,MATCH(12,L6:L26,0),4)</f>
        <v>0.58309037900874638</v>
      </c>
      <c r="Q17" s="135" t="str">
        <f>INDEX(B6:J26,MATCH(12,M6:M26,0),1)</f>
        <v>leski</v>
      </c>
      <c r="R17" s="296">
        <f>INDEX(B6:J26,MATCH(12,M6:M26,0),4)</f>
        <v>0.71848465055519262</v>
      </c>
    </row>
    <row r="18" spans="2:18" x14ac:dyDescent="0.25">
      <c r="B18" s="12" t="s">
        <v>27</v>
      </c>
      <c r="C18" s="13">
        <f>SUM(T.II!E20)</f>
        <v>2794</v>
      </c>
      <c r="D18" s="14">
        <v>13</v>
      </c>
      <c r="E18" s="453">
        <f t="shared" si="0"/>
        <v>0.46528274874731562</v>
      </c>
      <c r="F18" s="13">
        <v>13</v>
      </c>
      <c r="G18" s="25">
        <f t="shared" si="2"/>
        <v>100</v>
      </c>
      <c r="H18" s="32">
        <v>29</v>
      </c>
      <c r="I18" s="87">
        <v>0</v>
      </c>
      <c r="J18" s="15">
        <v>0</v>
      </c>
      <c r="K18" s="853"/>
      <c r="L18" s="50">
        <f>RANK(E18,E6:$E$26,0)+COUNTIF($E$6:$E$18,E18)-1</f>
        <v>14</v>
      </c>
      <c r="M18" s="338">
        <f>RANK(E18,$E6:E$26,1)+COUNTIF($E$6:$E$18,E18)-1</f>
        <v>8</v>
      </c>
      <c r="O18" s="444" t="str">
        <f>INDEX(B6:J26,MATCH(13,L6:L26,0),1)</f>
        <v>ropczycko-sędziszowski</v>
      </c>
      <c r="P18" s="296">
        <f>INDEX(B6:J26,MATCH(13,L6:L26,0),4)</f>
        <v>0.46948356807511737</v>
      </c>
      <c r="Q18" s="135" t="str">
        <f>INDEX(B6:J26,MATCH(13,M6:M26,0),1)</f>
        <v>tarnobrzeski + mnpp</v>
      </c>
      <c r="R18" s="296">
        <f>INDEX(B6:J26,MATCH(13,M6:M26,0),4)</f>
        <v>0.75250836120401343</v>
      </c>
    </row>
    <row r="19" spans="2:18" x14ac:dyDescent="0.25">
      <c r="B19" s="869" t="s">
        <v>534</v>
      </c>
      <c r="C19" s="859">
        <f>SUM(T.II!E21+E30)</f>
        <v>2711</v>
      </c>
      <c r="D19" s="860">
        <v>72</v>
      </c>
      <c r="E19" s="861">
        <f t="shared" si="0"/>
        <v>2.6558465510881595</v>
      </c>
      <c r="F19" s="862">
        <v>55</v>
      </c>
      <c r="G19" s="863">
        <f t="shared" si="2"/>
        <v>76.388888888888886</v>
      </c>
      <c r="H19" s="864">
        <v>131</v>
      </c>
      <c r="I19" s="865">
        <v>2</v>
      </c>
      <c r="J19" s="866">
        <v>1</v>
      </c>
      <c r="K19" s="853"/>
      <c r="L19" s="867">
        <f>RANK(E19,E6:$E$26,0)+COUNTIF($E$6:$E$19,E19)-1</f>
        <v>2</v>
      </c>
      <c r="M19" s="868">
        <f>RANK(E19,$E6:E$26,1)+COUNTIF($E$6:$E$19,E19)-1</f>
        <v>20</v>
      </c>
      <c r="O19" s="444" t="str">
        <f>INDEX(B6:J26,MATCH(14,L6:L26,0),1)</f>
        <v>niżański</v>
      </c>
      <c r="P19" s="296">
        <f>INDEX(B6:J26,MATCH(14,L6:L26,0),4)</f>
        <v>0.46528274874731562</v>
      </c>
      <c r="Q19" s="135" t="str">
        <f>INDEX(B6:J26,MATCH(14,M6:M26,0),1)</f>
        <v>dębicki</v>
      </c>
      <c r="R19" s="296">
        <f>INDEX(B6:J26,MATCH(14,M6:M26,0),4)</f>
        <v>0.84070796460176989</v>
      </c>
    </row>
    <row r="20" spans="2:18" x14ac:dyDescent="0.25">
      <c r="B20" s="16" t="s">
        <v>29</v>
      </c>
      <c r="C20" s="13">
        <f>SUM(T.II!E22)</f>
        <v>3161</v>
      </c>
      <c r="D20" s="14">
        <v>14</v>
      </c>
      <c r="E20" s="453">
        <f t="shared" si="0"/>
        <v>0.44289781714647264</v>
      </c>
      <c r="F20" s="13">
        <v>11</v>
      </c>
      <c r="G20" s="25">
        <f t="shared" si="2"/>
        <v>78.571428571428569</v>
      </c>
      <c r="H20" s="32">
        <v>31</v>
      </c>
      <c r="I20" s="87">
        <v>1</v>
      </c>
      <c r="J20" s="15">
        <v>0</v>
      </c>
      <c r="K20" s="853"/>
      <c r="L20" s="50">
        <f>RANK(E20,E6:$E$26,0)+COUNTIF($E$6:$E$20,E20)-1</f>
        <v>15</v>
      </c>
      <c r="M20" s="338">
        <f>RANK(E20,$E6:E$26,1)+COUNTIF($E$6:$E$20,E20)-1</f>
        <v>7</v>
      </c>
      <c r="O20" s="444" t="str">
        <f>INDEX(B6:J26,MATCH(15,L6:L26,0),1)</f>
        <v>przeworski</v>
      </c>
      <c r="P20" s="296">
        <f>INDEX(B6:J26,MATCH(15,L6:L26,0),4)</f>
        <v>0.44289781714647264</v>
      </c>
      <c r="Q20" s="135" t="str">
        <f>INDEX(B6:J26,MATCH(15,M6:M26,0),1)</f>
        <v>sanocki</v>
      </c>
      <c r="R20" s="296">
        <f>INDEX(B6:J26,MATCH(15,M6:M26,0),4)</f>
        <v>0.97781120722075965</v>
      </c>
    </row>
    <row r="21" spans="2:18" x14ac:dyDescent="0.25">
      <c r="B21" s="16" t="s">
        <v>30</v>
      </c>
      <c r="C21" s="13">
        <f>SUM(T.II!E23)</f>
        <v>2556</v>
      </c>
      <c r="D21" s="14">
        <v>12</v>
      </c>
      <c r="E21" s="453">
        <f t="shared" si="0"/>
        <v>0.46948356807511737</v>
      </c>
      <c r="F21" s="13">
        <v>10</v>
      </c>
      <c r="G21" s="25">
        <f t="shared" si="2"/>
        <v>83.333333333333343</v>
      </c>
      <c r="H21" s="32">
        <v>45</v>
      </c>
      <c r="I21" s="87">
        <v>0</v>
      </c>
      <c r="J21" s="15">
        <v>0</v>
      </c>
      <c r="K21" s="853"/>
      <c r="L21" s="50">
        <f>RANK(E21,E6:$E$26,0)+COUNTIF($E$6:$E$21,E21)-1</f>
        <v>13</v>
      </c>
      <c r="M21" s="338">
        <f>RANK(E21,$E6:E$26,1)+COUNTIF($E$6:$E$21,E21)-1</f>
        <v>9</v>
      </c>
      <c r="O21" s="444" t="str">
        <f>INDEX(B6:J26,MATCH(16,L6:L26,0),1)</f>
        <v>jasielski</v>
      </c>
      <c r="P21" s="296">
        <f>INDEX(B6:J26,MATCH(16,L6:L26,0),4)</f>
        <v>0.38354996803750269</v>
      </c>
      <c r="Q21" s="135" t="str">
        <f>INDEX(B6:J26,MATCH(16,M6:M26,0),1)</f>
        <v>stalowowolski</v>
      </c>
      <c r="R21" s="296">
        <f>INDEX(B6:J26,MATCH(16,M6:M26,0),4)</f>
        <v>1.021505376344086</v>
      </c>
    </row>
    <row r="22" spans="2:18" x14ac:dyDescent="0.25">
      <c r="B22" s="869" t="s">
        <v>535</v>
      </c>
      <c r="C22" s="859">
        <f>SUM(T.II!E24+E31)</f>
        <v>4423</v>
      </c>
      <c r="D22" s="860">
        <v>128</v>
      </c>
      <c r="E22" s="861">
        <f t="shared" si="0"/>
        <v>2.893963373276057</v>
      </c>
      <c r="F22" s="862">
        <v>108</v>
      </c>
      <c r="G22" s="863">
        <f t="shared" si="2"/>
        <v>84.375</v>
      </c>
      <c r="H22" s="864">
        <v>163</v>
      </c>
      <c r="I22" s="865">
        <v>9</v>
      </c>
      <c r="J22" s="866">
        <v>6</v>
      </c>
      <c r="K22" s="853"/>
      <c r="L22" s="867">
        <f>RANK(E22,E6:$E$26,0)+COUNTIF($E$6:$E$22,E22)-1</f>
        <v>1</v>
      </c>
      <c r="M22" s="868">
        <f>RANK(E22,$E6:E$26,1)+COUNTIF($E$6:$E$22,E22)-1</f>
        <v>21</v>
      </c>
      <c r="O22" s="444" t="str">
        <f>INDEX(B6:J26,MATCH(17,L6:L26,0),1)</f>
        <v>leżajski</v>
      </c>
      <c r="P22" s="296">
        <f>INDEX(B6:J26,MATCH(17,L6:L26,0),4)</f>
        <v>0.35599857600569601</v>
      </c>
      <c r="Q22" s="135" t="str">
        <f>INDEX(B6:J26,MATCH(17,M6:M26,0),1)</f>
        <v>bieszczadzki</v>
      </c>
      <c r="R22" s="296">
        <f>INDEX(B6:J26,MATCH(17,M6:M26,0),4)</f>
        <v>1.1639185257032008</v>
      </c>
    </row>
    <row r="23" spans="2:18" x14ac:dyDescent="0.25">
      <c r="B23" s="16" t="s">
        <v>32</v>
      </c>
      <c r="C23" s="13">
        <f>SUM(T.II!E25)</f>
        <v>2659</v>
      </c>
      <c r="D23" s="14">
        <v>26</v>
      </c>
      <c r="E23" s="453">
        <f t="shared" si="0"/>
        <v>0.97781120722075965</v>
      </c>
      <c r="F23" s="13">
        <v>23</v>
      </c>
      <c r="G23" s="25">
        <f t="shared" si="2"/>
        <v>88.461538461538453</v>
      </c>
      <c r="H23" s="32">
        <v>95</v>
      </c>
      <c r="I23" s="87">
        <v>0</v>
      </c>
      <c r="J23" s="15">
        <v>0</v>
      </c>
      <c r="K23" s="853"/>
      <c r="L23" s="50">
        <f>RANK(E23,E6:$E$26,0)+COUNTIF($E$6:$E$23,E23)-1</f>
        <v>7</v>
      </c>
      <c r="M23" s="338">
        <f>RANK(E23,$E6:E$26,1)+COUNTIF($E$6:$E$23,E23)-1</f>
        <v>15</v>
      </c>
      <c r="O23" s="444" t="str">
        <f>INDEX(B6:J26,MATCH(18,L6:L26,0),1)</f>
        <v>lubaczowski</v>
      </c>
      <c r="P23" s="296">
        <f>INDEX(B6:J26,MATCH(18,L6:L26,0),4)</f>
        <v>0.31525851197982346</v>
      </c>
      <c r="Q23" s="135" t="str">
        <f>INDEX(B6:J26,MATCH(18,M6:M26,0),1)</f>
        <v>mielecki</v>
      </c>
      <c r="R23" s="296">
        <f>INDEX(B6:J26,MATCH(18,M6:M26,0),4)</f>
        <v>1.3579387186629526</v>
      </c>
    </row>
    <row r="24" spans="2:18" x14ac:dyDescent="0.25">
      <c r="B24" s="16" t="s">
        <v>33</v>
      </c>
      <c r="C24" s="13">
        <f>SUM(T.II!E26)</f>
        <v>1860</v>
      </c>
      <c r="D24" s="14">
        <v>19</v>
      </c>
      <c r="E24" s="453">
        <f t="shared" si="0"/>
        <v>1.021505376344086</v>
      </c>
      <c r="F24" s="13">
        <v>19</v>
      </c>
      <c r="G24" s="25">
        <f t="shared" si="2"/>
        <v>100</v>
      </c>
      <c r="H24" s="32">
        <v>65</v>
      </c>
      <c r="I24" s="87">
        <v>0</v>
      </c>
      <c r="J24" s="15">
        <v>0</v>
      </c>
      <c r="K24" s="853"/>
      <c r="L24" s="50">
        <f>RANK(E24,E6:$E$26,0)+COUNTIF($E$6:$E$24,E24)-1</f>
        <v>6</v>
      </c>
      <c r="M24" s="338">
        <f>RANK(E24,$E6:E$26,1)+COUNTIF($E$6:$E$24,E24)-1</f>
        <v>16</v>
      </c>
      <c r="O24" s="444" t="str">
        <f>INDEX(B6:J26,MATCH(19,L6:L26,0),1)</f>
        <v>kolbuszowski</v>
      </c>
      <c r="P24" s="296">
        <f>INDEX(B6:J26,MATCH(19,L6:L26,0),4)</f>
        <v>0.26507620941020543</v>
      </c>
      <c r="Q24" s="135" t="str">
        <f>INDEX(B6:J26,MATCH(19,M6:M26,0),1)</f>
        <v>krośnieński + mnpp</v>
      </c>
      <c r="R24" s="296">
        <f>INDEX(B6:J26,MATCH(19,M6:M26,0),4)</f>
        <v>1.4513108614232211</v>
      </c>
    </row>
    <row r="25" spans="2:18" x14ac:dyDescent="0.25">
      <c r="B25" s="16" t="s">
        <v>34</v>
      </c>
      <c r="C25" s="13">
        <f>SUM(T.II!E27)</f>
        <v>3008</v>
      </c>
      <c r="D25" s="14">
        <v>2</v>
      </c>
      <c r="E25" s="453">
        <f t="shared" si="0"/>
        <v>6.6489361702127658E-2</v>
      </c>
      <c r="F25" s="13">
        <v>1</v>
      </c>
      <c r="G25" s="25">
        <f t="shared" ref="G25:G26" si="3">(F25/D25)*100</f>
        <v>50</v>
      </c>
      <c r="H25" s="32">
        <v>24</v>
      </c>
      <c r="I25" s="87">
        <v>0</v>
      </c>
      <c r="J25" s="15">
        <v>0</v>
      </c>
      <c r="K25" s="853"/>
      <c r="L25" s="50">
        <f>RANK(E25,E6:$E$26,0)+COUNTIF($E$6:$E$25,E25)-1</f>
        <v>21</v>
      </c>
      <c r="M25" s="338">
        <f>RANK(E25,$E6:E$26,1)+COUNTIF($E$6:$E$25,E25)-1</f>
        <v>1</v>
      </c>
      <c r="O25" s="444" t="str">
        <f>INDEX(B6:J26,MATCH(20,L6:L26,0),1)</f>
        <v>brzozowski</v>
      </c>
      <c r="P25" s="296">
        <f>INDEX(B6:J26,MATCH(20,L6:L26,0),4)</f>
        <v>0.11747430249632893</v>
      </c>
      <c r="Q25" s="135" t="str">
        <f>INDEX(B6:J26,MATCH(20,M6:M26,0),1)</f>
        <v>przemyski + mnpp</v>
      </c>
      <c r="R25" s="296">
        <f>INDEX(B6:J26,MATCH(20,M6:M26,0),4)</f>
        <v>2.6558465510881595</v>
      </c>
    </row>
    <row r="26" spans="2:18" ht="15.75" thickBot="1" x14ac:dyDescent="0.3">
      <c r="B26" s="870" t="s">
        <v>536</v>
      </c>
      <c r="C26" s="871">
        <f>SUM(T.II!E28+E32)</f>
        <v>1196</v>
      </c>
      <c r="D26" s="872">
        <v>9</v>
      </c>
      <c r="E26" s="873">
        <f>SUM(D26/C26)*100</f>
        <v>0.75250836120401343</v>
      </c>
      <c r="F26" s="874">
        <v>6</v>
      </c>
      <c r="G26" s="875">
        <f t="shared" si="3"/>
        <v>66.666666666666657</v>
      </c>
      <c r="H26" s="876">
        <v>352</v>
      </c>
      <c r="I26" s="877">
        <v>1</v>
      </c>
      <c r="J26" s="878">
        <v>0</v>
      </c>
      <c r="K26" s="853"/>
      <c r="L26" s="879">
        <f>RANK(E26,E6:$E$26,0)+COUNTIF($E$6:$E$26,E26)-1</f>
        <v>9</v>
      </c>
      <c r="M26" s="880">
        <f>RANK(E26,$E6:E$26,1)+COUNTIF($E$6:$E$26,E26)-1</f>
        <v>13</v>
      </c>
      <c r="O26" s="444" t="str">
        <f>INDEX(B6:J26,MATCH(21,L6:L26,0),1)</f>
        <v>strzyżowski</v>
      </c>
      <c r="P26" s="296">
        <f>INDEX(B6:J26,MATCH(21,L6:L26,0),4)</f>
        <v>6.6489361702127658E-2</v>
      </c>
      <c r="Q26" s="135" t="str">
        <f>INDEX(B6:J26,MATCH(21,M6:M26,0),1)</f>
        <v>rzeszowski + mnpp</v>
      </c>
      <c r="R26" s="296">
        <f>INDEX(B6:J26,MATCH(21,M6:M26,0),4)</f>
        <v>2.893963373276057</v>
      </c>
    </row>
    <row r="27" spans="2:18" x14ac:dyDescent="0.25">
      <c r="B27" s="11" t="s">
        <v>480</v>
      </c>
      <c r="C27" s="848"/>
      <c r="D27" s="848"/>
      <c r="E27" s="849"/>
      <c r="F27" s="848"/>
      <c r="G27" s="850"/>
      <c r="H27" s="848"/>
      <c r="I27" s="848"/>
      <c r="J27" s="848"/>
      <c r="K27" s="593"/>
      <c r="L27" s="851"/>
      <c r="M27" s="851"/>
      <c r="P27" s="296"/>
      <c r="R27" s="296"/>
    </row>
    <row r="28" spans="2:18" x14ac:dyDescent="0.25">
      <c r="B28" s="11" t="s">
        <v>533</v>
      </c>
      <c r="C28" s="358"/>
      <c r="D28" s="358"/>
      <c r="E28" s="852"/>
      <c r="F28" s="358"/>
      <c r="G28" s="395"/>
      <c r="H28" s="358"/>
      <c r="I28" s="358"/>
      <c r="J28" s="358"/>
      <c r="K28" s="593"/>
      <c r="L28" s="594"/>
      <c r="M28" s="594"/>
      <c r="P28" s="296"/>
      <c r="R28" s="296"/>
    </row>
    <row r="29" spans="2:18" x14ac:dyDescent="0.25">
      <c r="B29" s="593"/>
      <c r="C29" s="358"/>
      <c r="D29" s="358"/>
      <c r="E29" s="852"/>
      <c r="F29" s="358"/>
      <c r="G29" s="395"/>
      <c r="H29" s="358"/>
      <c r="I29" s="358"/>
      <c r="J29" s="358"/>
      <c r="K29" s="593"/>
      <c r="L29" s="594"/>
      <c r="M29" s="594"/>
      <c r="P29" s="296"/>
      <c r="R29" s="296"/>
    </row>
    <row r="30" spans="2:18" x14ac:dyDescent="0.25">
      <c r="B30" s="593"/>
      <c r="C30" s="358"/>
      <c r="D30" s="358"/>
      <c r="E30" s="852"/>
      <c r="F30" s="358"/>
      <c r="G30" s="395"/>
      <c r="H30" s="358"/>
      <c r="I30" s="358"/>
      <c r="J30" s="358"/>
      <c r="K30" s="593"/>
      <c r="L30" s="594"/>
      <c r="M30" s="594"/>
      <c r="P30" s="296"/>
      <c r="R30" s="296"/>
    </row>
  </sheetData>
  <pageMargins left="0.7" right="0.7" top="0.75" bottom="0.75" header="0.3" footer="0.3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B1:P22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5.28515625" style="11" customWidth="1"/>
    <col min="3" max="3" width="10.28515625" style="11" customWidth="1"/>
    <col min="4" max="4" width="9.42578125" style="11" customWidth="1"/>
    <col min="5" max="5" width="9.85546875" style="11" customWidth="1"/>
    <col min="6" max="6" width="9.7109375" style="11" customWidth="1"/>
    <col min="7" max="7" width="10" style="11" customWidth="1"/>
    <col min="8" max="8" width="9.140625" style="11" customWidth="1"/>
    <col min="9" max="9" width="10" style="11" customWidth="1"/>
    <col min="10" max="10" width="8.5703125" style="11" customWidth="1"/>
    <col min="11" max="11" width="14" style="11" customWidth="1"/>
    <col min="12" max="12" width="2.5703125" style="11" customWidth="1"/>
    <col min="13" max="14" width="9" style="11" customWidth="1"/>
    <col min="15" max="15" width="8.5703125" style="11" customWidth="1"/>
    <col min="16" max="16384" width="9.140625" style="11"/>
  </cols>
  <sheetData>
    <row r="1" spans="2:16" ht="12" customHeight="1" x14ac:dyDescent="0.25"/>
    <row r="2" spans="2:16" x14ac:dyDescent="0.25">
      <c r="B2" s="11" t="s">
        <v>548</v>
      </c>
    </row>
    <row r="3" spans="2:16" ht="14.25" customHeight="1" x14ac:dyDescent="0.25">
      <c r="B3" s="27" t="s">
        <v>307</v>
      </c>
    </row>
    <row r="4" spans="2:16" ht="13.5" customHeight="1" thickBot="1" x14ac:dyDescent="0.3">
      <c r="B4" s="27"/>
    </row>
    <row r="5" spans="2:16" ht="34.5" customHeight="1" x14ac:dyDescent="0.25">
      <c r="B5" s="993" t="s">
        <v>103</v>
      </c>
      <c r="C5" s="995" t="s">
        <v>424</v>
      </c>
      <c r="D5" s="996"/>
      <c r="E5" s="995" t="s">
        <v>490</v>
      </c>
      <c r="F5" s="996"/>
      <c r="G5" s="995" t="s">
        <v>491</v>
      </c>
      <c r="H5" s="996"/>
      <c r="I5" s="997" t="s">
        <v>492</v>
      </c>
      <c r="J5" s="998"/>
      <c r="K5" s="653" t="s">
        <v>538</v>
      </c>
      <c r="L5" s="390"/>
      <c r="M5" s="390"/>
    </row>
    <row r="6" spans="2:16" ht="22.5" customHeight="1" thickBot="1" x14ac:dyDescent="0.3">
      <c r="B6" s="994"/>
      <c r="C6" s="654" t="s">
        <v>4</v>
      </c>
      <c r="D6" s="655" t="s">
        <v>369</v>
      </c>
      <c r="E6" s="654" t="s">
        <v>4</v>
      </c>
      <c r="F6" s="655" t="s">
        <v>369</v>
      </c>
      <c r="G6" s="654" t="s">
        <v>4</v>
      </c>
      <c r="H6" s="655" t="s">
        <v>369</v>
      </c>
      <c r="I6" s="656" t="s">
        <v>4</v>
      </c>
      <c r="J6" s="655" t="s">
        <v>369</v>
      </c>
      <c r="K6" s="657" t="s">
        <v>4</v>
      </c>
      <c r="L6" s="357"/>
      <c r="M6" s="357"/>
    </row>
    <row r="7" spans="2:16" ht="42" customHeight="1" thickBot="1" x14ac:dyDescent="0.3">
      <c r="B7" s="316" t="s">
        <v>114</v>
      </c>
      <c r="C7" s="43">
        <v>44811</v>
      </c>
      <c r="D7" s="44">
        <f>SUM(D9:D10)</f>
        <v>100</v>
      </c>
      <c r="E7" s="43">
        <v>47417</v>
      </c>
      <c r="F7" s="44">
        <f>SUM(F9:F10)</f>
        <v>100</v>
      </c>
      <c r="G7" s="43">
        <v>92228</v>
      </c>
      <c r="H7" s="44">
        <f>SUM(H9:H10)</f>
        <v>100</v>
      </c>
      <c r="I7" s="167">
        <v>41690</v>
      </c>
      <c r="J7" s="324">
        <f>SUM(J9:J10)</f>
        <v>100</v>
      </c>
      <c r="K7" s="205">
        <f>SUM(I7)-C7</f>
        <v>-3121</v>
      </c>
      <c r="L7" s="387"/>
      <c r="M7" s="387">
        <f>SUM(C7)+E7</f>
        <v>92228</v>
      </c>
    </row>
    <row r="8" spans="2:16" ht="30.75" customHeight="1" thickBot="1" x14ac:dyDescent="0.3">
      <c r="B8" s="330" t="s">
        <v>115</v>
      </c>
      <c r="C8" s="331"/>
      <c r="D8" s="331"/>
      <c r="E8" s="331"/>
      <c r="F8" s="331"/>
      <c r="G8" s="331"/>
      <c r="H8" s="331"/>
      <c r="I8" s="331"/>
      <c r="J8" s="331"/>
      <c r="K8" s="332"/>
      <c r="L8" s="388"/>
      <c r="M8" s="388"/>
    </row>
    <row r="9" spans="2:16" ht="24" customHeight="1" x14ac:dyDescent="0.25">
      <c r="B9" s="317" t="s">
        <v>73</v>
      </c>
      <c r="C9" s="36">
        <v>7949</v>
      </c>
      <c r="D9" s="37">
        <f>SUM(C9)/C7*100</f>
        <v>17.73894802615429</v>
      </c>
      <c r="E9" s="36">
        <v>9763</v>
      </c>
      <c r="F9" s="37">
        <f>SUM(E9)/E7*100</f>
        <v>20.589661935592719</v>
      </c>
      <c r="G9" s="36">
        <v>17712</v>
      </c>
      <c r="H9" s="37">
        <f>SUM(G9)/G7*100</f>
        <v>19.204579954026975</v>
      </c>
      <c r="I9" s="112">
        <v>7810</v>
      </c>
      <c r="J9" s="325">
        <f>SUM(I9)/I7*100</f>
        <v>18.733509234828496</v>
      </c>
      <c r="K9" s="38">
        <f>SUM(I9)-C9</f>
        <v>-139</v>
      </c>
      <c r="L9" s="358"/>
      <c r="M9" s="358">
        <f>SUM(C9)+E9</f>
        <v>17712</v>
      </c>
      <c r="N9" s="296">
        <f>SUM(K9/C9*100)</f>
        <v>-1.7486476286325325</v>
      </c>
      <c r="O9" s="361">
        <f>SUM(G9:G10)</f>
        <v>92228</v>
      </c>
    </row>
    <row r="10" spans="2:16" ht="24" customHeight="1" thickBot="1" x14ac:dyDescent="0.3">
      <c r="B10" s="318" t="s">
        <v>74</v>
      </c>
      <c r="C10" s="18">
        <v>36862</v>
      </c>
      <c r="D10" s="26">
        <f>SUM(C10)/C7*100</f>
        <v>82.26105197384571</v>
      </c>
      <c r="E10" s="18">
        <v>37654</v>
      </c>
      <c r="F10" s="26">
        <f>SUM(E10)/E7*100</f>
        <v>79.410338064407284</v>
      </c>
      <c r="G10" s="18">
        <v>74516</v>
      </c>
      <c r="H10" s="26">
        <f>SUM(G10)/G7*100</f>
        <v>80.795420045973017</v>
      </c>
      <c r="I10" s="88">
        <v>33880</v>
      </c>
      <c r="J10" s="326">
        <f>SUM(I10)/I7*100</f>
        <v>81.266490765171511</v>
      </c>
      <c r="K10" s="35">
        <f>SUM(I10)-C10</f>
        <v>-2982</v>
      </c>
      <c r="L10" s="358"/>
      <c r="M10" s="358">
        <f>SUM(C10)+E10</f>
        <v>74516</v>
      </c>
      <c r="N10" s="296">
        <f>SUM(K10/C10*100)</f>
        <v>-8.0896315989365739</v>
      </c>
      <c r="O10" s="361">
        <f>SUM(K9:K10)</f>
        <v>-3121</v>
      </c>
      <c r="P10" s="48"/>
    </row>
    <row r="11" spans="2:16" ht="21.75" customHeight="1" thickBot="1" x14ac:dyDescent="0.3">
      <c r="B11" s="362" t="s">
        <v>116</v>
      </c>
      <c r="C11" s="363"/>
      <c r="D11" s="363"/>
      <c r="E11" s="363"/>
      <c r="F11" s="363"/>
      <c r="G11" s="363"/>
      <c r="H11" s="363"/>
      <c r="I11" s="363"/>
      <c r="J11" s="363"/>
      <c r="K11" s="364"/>
      <c r="L11" s="389"/>
      <c r="M11" s="389"/>
      <c r="N11" s="143"/>
      <c r="O11" s="143"/>
    </row>
    <row r="12" spans="2:16" ht="28.5" customHeight="1" x14ac:dyDescent="0.25">
      <c r="B12" s="319" t="s">
        <v>75</v>
      </c>
      <c r="C12" s="39">
        <v>47</v>
      </c>
      <c r="D12" s="40">
        <f>SUM(C12)/C7*100</f>
        <v>0.10488496128182813</v>
      </c>
      <c r="E12" s="39">
        <v>50</v>
      </c>
      <c r="F12" s="40">
        <f>SUM(E12)/E7*100</f>
        <v>0.10544741337494992</v>
      </c>
      <c r="G12" s="39">
        <v>97</v>
      </c>
      <c r="H12" s="40">
        <f>SUM(G12)/G7*100</f>
        <v>0.105174133668734</v>
      </c>
      <c r="I12" s="323">
        <v>27</v>
      </c>
      <c r="J12" s="327">
        <f>SUM(I12)/I7*100</f>
        <v>6.4763732309906452E-2</v>
      </c>
      <c r="K12" s="41">
        <f t="shared" ref="K12:K17" si="0">SUM(I12)-C12</f>
        <v>-20</v>
      </c>
      <c r="L12" s="358"/>
      <c r="M12" s="358">
        <f t="shared" ref="M12:M17" si="1">SUM(C12)+E12</f>
        <v>97</v>
      </c>
      <c r="N12" s="361">
        <f>SUM(I12:I17)</f>
        <v>2420</v>
      </c>
      <c r="O12" s="361">
        <f>SUM(C12:C17)</f>
        <v>3741</v>
      </c>
    </row>
    <row r="13" spans="2:16" ht="26.25" customHeight="1" x14ac:dyDescent="0.25">
      <c r="B13" s="320" t="s">
        <v>76</v>
      </c>
      <c r="C13" s="13">
        <v>237</v>
      </c>
      <c r="D13" s="25">
        <f>SUM(C13)/C7*100</f>
        <v>0.52888799625092053</v>
      </c>
      <c r="E13" s="13">
        <v>330</v>
      </c>
      <c r="F13" s="25">
        <f>SUM(E13)/E7*100</f>
        <v>0.69595292827466937</v>
      </c>
      <c r="G13" s="13">
        <v>567</v>
      </c>
      <c r="H13" s="25">
        <f>SUM(G13)/G7*100</f>
        <v>0.61478076072342458</v>
      </c>
      <c r="I13" s="87">
        <v>172</v>
      </c>
      <c r="J13" s="328">
        <f>SUM(I13)/I7*100</f>
        <v>0.41256896138162624</v>
      </c>
      <c r="K13" s="32">
        <f t="shared" si="0"/>
        <v>-65</v>
      </c>
      <c r="L13" s="358"/>
      <c r="M13" s="358">
        <f t="shared" si="1"/>
        <v>567</v>
      </c>
      <c r="N13" s="296">
        <f>SUM(N12/I7)*100</f>
        <v>5.8047493403693933</v>
      </c>
      <c r="O13" s="296">
        <f>SUM(O12/C7)*100</f>
        <v>8.3483965990493409</v>
      </c>
    </row>
    <row r="14" spans="2:16" ht="27.75" customHeight="1" x14ac:dyDescent="0.25">
      <c r="B14" s="321" t="s">
        <v>77</v>
      </c>
      <c r="C14" s="30">
        <v>2693</v>
      </c>
      <c r="D14" s="31">
        <f>SUM(C14)/C7*100</f>
        <v>6.0096851219566618</v>
      </c>
      <c r="E14" s="30">
        <v>3991</v>
      </c>
      <c r="F14" s="31">
        <f>SUM(E14)/E7*100</f>
        <v>8.4168125355885017</v>
      </c>
      <c r="G14" s="30">
        <v>6684</v>
      </c>
      <c r="H14" s="31">
        <f>SUM(G14)/G7*100</f>
        <v>7.2472567983692588</v>
      </c>
      <c r="I14" s="103">
        <v>1271</v>
      </c>
      <c r="J14" s="329">
        <f>SUM(I14)/I7*100</f>
        <v>3.048692732070041</v>
      </c>
      <c r="K14" s="34">
        <f t="shared" si="0"/>
        <v>-1422</v>
      </c>
      <c r="L14" s="358"/>
      <c r="M14" s="358">
        <f t="shared" si="1"/>
        <v>6684</v>
      </c>
      <c r="N14" s="366">
        <f>SUM(J12:J17)</f>
        <v>5.8047493403693933</v>
      </c>
      <c r="O14" s="366">
        <f>SUM(D12:D17)</f>
        <v>8.3483965990493392</v>
      </c>
    </row>
    <row r="15" spans="2:16" ht="30" x14ac:dyDescent="0.25">
      <c r="B15" s="320" t="s">
        <v>86</v>
      </c>
      <c r="C15" s="13">
        <v>0</v>
      </c>
      <c r="D15" s="349">
        <f>SUM(C15)/C7*100</f>
        <v>0</v>
      </c>
      <c r="E15" s="13">
        <v>0</v>
      </c>
      <c r="F15" s="349">
        <f>SUM(E15)/E7*100</f>
        <v>0</v>
      </c>
      <c r="G15" s="13">
        <v>0</v>
      </c>
      <c r="H15" s="349">
        <f>SUM(G15)/G7*100</f>
        <v>0</v>
      </c>
      <c r="I15" s="87">
        <v>0</v>
      </c>
      <c r="J15" s="328">
        <f>SUM(I15)/I7*100</f>
        <v>0</v>
      </c>
      <c r="K15" s="32">
        <f t="shared" si="0"/>
        <v>0</v>
      </c>
      <c r="L15" s="358"/>
      <c r="M15" s="358">
        <f t="shared" si="1"/>
        <v>0</v>
      </c>
    </row>
    <row r="16" spans="2:16" ht="31.5" customHeight="1" x14ac:dyDescent="0.25">
      <c r="B16" s="320" t="s">
        <v>78</v>
      </c>
      <c r="C16" s="13">
        <v>654</v>
      </c>
      <c r="D16" s="25">
        <f>SUM(C16)/C7*100</f>
        <v>1.4594630782620339</v>
      </c>
      <c r="E16" s="13">
        <v>796</v>
      </c>
      <c r="F16" s="25">
        <f>SUM(E16)/E7*100</f>
        <v>1.6787228209292027</v>
      </c>
      <c r="G16" s="13">
        <v>1450</v>
      </c>
      <c r="H16" s="25">
        <f>SUM(G16)/G7*100</f>
        <v>1.5721906579346836</v>
      </c>
      <c r="I16" s="87">
        <v>833</v>
      </c>
      <c r="J16" s="328">
        <f>SUM(I16)/I7*100</f>
        <v>1.9980810745982249</v>
      </c>
      <c r="K16" s="32">
        <f t="shared" si="0"/>
        <v>179</v>
      </c>
      <c r="L16" s="358"/>
      <c r="M16" s="358">
        <f t="shared" si="1"/>
        <v>1450</v>
      </c>
    </row>
    <row r="17" spans="2:13" ht="30.75" thickBot="1" x14ac:dyDescent="0.3">
      <c r="B17" s="322" t="s">
        <v>117</v>
      </c>
      <c r="C17" s="18">
        <v>110</v>
      </c>
      <c r="D17" s="26">
        <f>SUM(C17)/C7*100</f>
        <v>0.24547544129789561</v>
      </c>
      <c r="E17" s="18">
        <v>364</v>
      </c>
      <c r="F17" s="26">
        <f>SUM(E17)/E7*100</f>
        <v>0.76765716936963535</v>
      </c>
      <c r="G17" s="18">
        <v>474</v>
      </c>
      <c r="H17" s="26">
        <f>SUM(G17)/G7*100</f>
        <v>0.51394370473175177</v>
      </c>
      <c r="I17" s="88">
        <v>117</v>
      </c>
      <c r="J17" s="326">
        <f>SUM(I17)/I7*100</f>
        <v>0.28064284000959461</v>
      </c>
      <c r="K17" s="35">
        <f t="shared" si="0"/>
        <v>7</v>
      </c>
      <c r="L17" s="358"/>
      <c r="M17" s="358">
        <f t="shared" si="1"/>
        <v>474</v>
      </c>
    </row>
    <row r="19" spans="2:13" x14ac:dyDescent="0.25">
      <c r="C19" s="361">
        <f>SUM(C9:C10)</f>
        <v>44811</v>
      </c>
      <c r="E19" s="361">
        <f>SUM(E9:E10)</f>
        <v>47417</v>
      </c>
    </row>
    <row r="20" spans="2:13" x14ac:dyDescent="0.25">
      <c r="C20" s="361">
        <f>SUM(C12:C17)</f>
        <v>3741</v>
      </c>
      <c r="D20" s="366">
        <f>SUM(D12:D17)</f>
        <v>8.3483965990493392</v>
      </c>
      <c r="E20" s="48"/>
      <c r="F20" s="294"/>
      <c r="G20" s="361">
        <f>SUM(G12:G17)</f>
        <v>9272</v>
      </c>
      <c r="H20" s="366">
        <f>SUM(H12:H17)</f>
        <v>10.053346055427852</v>
      </c>
      <c r="I20" s="294"/>
      <c r="J20" s="294"/>
    </row>
    <row r="21" spans="2:13" x14ac:dyDescent="0.25">
      <c r="D21" s="48"/>
    </row>
    <row r="22" spans="2:13" x14ac:dyDescent="0.25">
      <c r="E22" s="48"/>
      <c r="F22" s="294"/>
      <c r="G22" s="294"/>
      <c r="H22" s="294"/>
      <c r="I22" s="294"/>
      <c r="J22" s="294"/>
    </row>
  </sheetData>
  <mergeCells count="5">
    <mergeCell ref="B5:B6"/>
    <mergeCell ref="E5:F5"/>
    <mergeCell ref="C5:D5"/>
    <mergeCell ref="I5:J5"/>
    <mergeCell ref="G5:H5"/>
  </mergeCells>
  <printOptions horizontalCentered="1"/>
  <pageMargins left="0" right="0" top="1.3779527559055118" bottom="0" header="0.31496062992125984" footer="0.31496062992125984"/>
  <pageSetup paperSize="9" scale="9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B1:J35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22.28515625" style="2" customWidth="1"/>
    <col min="3" max="3" width="11.5703125" style="2" customWidth="1"/>
    <col min="4" max="4" width="11.85546875" style="2" customWidth="1"/>
    <col min="5" max="5" width="12.42578125" style="2" customWidth="1"/>
    <col min="6" max="6" width="12" style="2" customWidth="1"/>
    <col min="7" max="7" width="10.85546875" style="2" customWidth="1"/>
    <col min="8" max="8" width="11.42578125" style="2" customWidth="1"/>
    <col min="9" max="9" width="2.42578125" style="2" customWidth="1"/>
    <col min="10" max="10" width="7.85546875" style="2" customWidth="1"/>
    <col min="11" max="11" width="10.28515625" style="2" customWidth="1"/>
    <col min="12" max="16384" width="9.140625" style="2"/>
  </cols>
  <sheetData>
    <row r="1" spans="2:10" ht="11.25" customHeight="1" x14ac:dyDescent="0.25"/>
    <row r="2" spans="2:10" x14ac:dyDescent="0.25">
      <c r="B2" s="11" t="s">
        <v>549</v>
      </c>
      <c r="C2" s="11"/>
      <c r="D2" s="11"/>
      <c r="E2" s="11"/>
      <c r="F2" s="11"/>
      <c r="G2" s="11"/>
      <c r="H2" s="11"/>
    </row>
    <row r="3" spans="2:10" x14ac:dyDescent="0.25">
      <c r="B3" s="11" t="s">
        <v>308</v>
      </c>
      <c r="C3" s="11"/>
      <c r="D3" s="11"/>
      <c r="E3" s="11"/>
      <c r="F3" s="11"/>
      <c r="G3" s="11"/>
      <c r="H3" s="11"/>
    </row>
    <row r="4" spans="2:10" ht="6" customHeight="1" thickBot="1" x14ac:dyDescent="0.3">
      <c r="B4" s="11"/>
      <c r="C4" s="11"/>
      <c r="D4" s="11"/>
      <c r="E4" s="11"/>
      <c r="F4" s="11"/>
      <c r="G4" s="11"/>
      <c r="H4" s="11"/>
    </row>
    <row r="5" spans="2:10" ht="15.75" thickBot="1" x14ac:dyDescent="0.3">
      <c r="B5" s="991" t="s">
        <v>108</v>
      </c>
      <c r="C5" s="988" t="s">
        <v>118</v>
      </c>
      <c r="D5" s="989"/>
      <c r="E5" s="989"/>
      <c r="F5" s="989"/>
      <c r="G5" s="989"/>
      <c r="H5" s="990"/>
    </row>
    <row r="6" spans="2:10" ht="31.5" customHeight="1" x14ac:dyDescent="0.25">
      <c r="B6" s="999"/>
      <c r="C6" s="1003" t="s">
        <v>427</v>
      </c>
      <c r="D6" s="1000" t="s">
        <v>495</v>
      </c>
      <c r="E6" s="1010" t="s">
        <v>491</v>
      </c>
      <c r="F6" s="991" t="s">
        <v>496</v>
      </c>
      <c r="G6" s="1006" t="s">
        <v>539</v>
      </c>
      <c r="H6" s="1007"/>
    </row>
    <row r="7" spans="2:10" ht="35.25" customHeight="1" x14ac:dyDescent="0.25">
      <c r="B7" s="999"/>
      <c r="C7" s="1004"/>
      <c r="D7" s="1001"/>
      <c r="E7" s="1011"/>
      <c r="F7" s="999"/>
      <c r="G7" s="984" t="s">
        <v>105</v>
      </c>
      <c r="H7" s="1008" t="s">
        <v>369</v>
      </c>
    </row>
    <row r="8" spans="2:10" ht="10.5" customHeight="1" thickBot="1" x14ac:dyDescent="0.3">
      <c r="B8" s="992"/>
      <c r="C8" s="1005"/>
      <c r="D8" s="1002"/>
      <c r="E8" s="1012"/>
      <c r="F8" s="992"/>
      <c r="G8" s="985"/>
      <c r="H8" s="1009"/>
    </row>
    <row r="9" spans="2:10" ht="21" customHeight="1" thickBot="1" x14ac:dyDescent="0.3">
      <c r="B9" s="164" t="s">
        <v>14</v>
      </c>
      <c r="C9" s="78">
        <f>SUM(C10:C34)</f>
        <v>44811</v>
      </c>
      <c r="D9" s="263">
        <f>SUM(D10:D34)</f>
        <v>47417</v>
      </c>
      <c r="E9" s="417">
        <f>SUM(C9:D9)</f>
        <v>92228</v>
      </c>
      <c r="F9" s="418">
        <f>SUM(F10:F34)</f>
        <v>41690</v>
      </c>
      <c r="G9" s="419">
        <f>SUM(F9)-C9</f>
        <v>-3121</v>
      </c>
      <c r="H9" s="264">
        <f t="shared" ref="H9:H34" si="0">SUM(G9)/C9*100</f>
        <v>-6.9648077480975648</v>
      </c>
      <c r="J9" s="594">
        <f>SUM(J10:J34)</f>
        <v>93337</v>
      </c>
    </row>
    <row r="10" spans="2:10" ht="18" customHeight="1" x14ac:dyDescent="0.25">
      <c r="B10" s="174" t="s">
        <v>15</v>
      </c>
      <c r="C10" s="178">
        <v>684</v>
      </c>
      <c r="D10" s="179">
        <v>716</v>
      </c>
      <c r="E10" s="414">
        <f t="shared" ref="E10:E34" si="1">SUM(C10:D10)</f>
        <v>1400</v>
      </c>
      <c r="F10" s="415">
        <v>601</v>
      </c>
      <c r="G10" s="416">
        <f t="shared" ref="G10:G34" si="2">SUM(F10)-C10</f>
        <v>-83</v>
      </c>
      <c r="H10" s="54">
        <f t="shared" si="0"/>
        <v>-12.134502923976607</v>
      </c>
      <c r="J10" s="594">
        <v>1391</v>
      </c>
    </row>
    <row r="11" spans="2:10" ht="15.75" customHeight="1" x14ac:dyDescent="0.25">
      <c r="B11" s="175" t="s">
        <v>16</v>
      </c>
      <c r="C11" s="50">
        <v>1748</v>
      </c>
      <c r="D11" s="9">
        <v>2040</v>
      </c>
      <c r="E11" s="333">
        <f t="shared" si="1"/>
        <v>3788</v>
      </c>
      <c r="F11" s="338">
        <v>1749</v>
      </c>
      <c r="G11" s="6">
        <f t="shared" si="2"/>
        <v>1</v>
      </c>
      <c r="H11" s="7">
        <f t="shared" si="0"/>
        <v>5.7208237986270026E-2</v>
      </c>
      <c r="J11" s="594">
        <v>3815</v>
      </c>
    </row>
    <row r="12" spans="2:10" x14ac:dyDescent="0.25">
      <c r="B12" s="175" t="s">
        <v>17</v>
      </c>
      <c r="C12" s="50">
        <v>2203</v>
      </c>
      <c r="D12" s="9">
        <v>2299</v>
      </c>
      <c r="E12" s="333">
        <f t="shared" si="1"/>
        <v>4502</v>
      </c>
      <c r="F12" s="338">
        <v>2006</v>
      </c>
      <c r="G12" s="6">
        <f t="shared" si="2"/>
        <v>-197</v>
      </c>
      <c r="H12" s="7">
        <f t="shared" si="0"/>
        <v>-8.9423513390830678</v>
      </c>
      <c r="J12" s="594">
        <v>4513</v>
      </c>
    </row>
    <row r="13" spans="2:10" x14ac:dyDescent="0.25">
      <c r="B13" s="175" t="s">
        <v>18</v>
      </c>
      <c r="C13" s="50">
        <v>2884</v>
      </c>
      <c r="D13" s="9">
        <v>3084</v>
      </c>
      <c r="E13" s="333">
        <f t="shared" si="1"/>
        <v>5968</v>
      </c>
      <c r="F13" s="338">
        <v>2807</v>
      </c>
      <c r="G13" s="6">
        <f t="shared" si="2"/>
        <v>-77</v>
      </c>
      <c r="H13" s="7">
        <f t="shared" si="0"/>
        <v>-2.6699029126213589</v>
      </c>
      <c r="J13" s="594">
        <v>6215</v>
      </c>
    </row>
    <row r="14" spans="2:10" x14ac:dyDescent="0.25">
      <c r="B14" s="175" t="s">
        <v>19</v>
      </c>
      <c r="C14" s="50">
        <v>2903</v>
      </c>
      <c r="D14" s="9">
        <v>3127</v>
      </c>
      <c r="E14" s="333">
        <f t="shared" si="1"/>
        <v>6030</v>
      </c>
      <c r="F14" s="338">
        <v>2559</v>
      </c>
      <c r="G14" s="6">
        <f t="shared" si="2"/>
        <v>-344</v>
      </c>
      <c r="H14" s="7">
        <f t="shared" si="0"/>
        <v>-11.849810540819842</v>
      </c>
      <c r="J14" s="594">
        <v>5872</v>
      </c>
    </row>
    <row r="15" spans="2:10" x14ac:dyDescent="0.25">
      <c r="B15" s="175" t="s">
        <v>20</v>
      </c>
      <c r="C15" s="50">
        <v>1197</v>
      </c>
      <c r="D15" s="9">
        <v>1234</v>
      </c>
      <c r="E15" s="333">
        <f t="shared" si="1"/>
        <v>2431</v>
      </c>
      <c r="F15" s="338">
        <v>1102</v>
      </c>
      <c r="G15" s="6">
        <f t="shared" si="2"/>
        <v>-95</v>
      </c>
      <c r="H15" s="7">
        <f t="shared" si="0"/>
        <v>-7.9365079365079358</v>
      </c>
      <c r="J15" s="594">
        <v>2561</v>
      </c>
    </row>
    <row r="16" spans="2:10" x14ac:dyDescent="0.25">
      <c r="B16" s="175" t="s">
        <v>21</v>
      </c>
      <c r="C16" s="50">
        <v>1803</v>
      </c>
      <c r="D16" s="9">
        <v>1868</v>
      </c>
      <c r="E16" s="333">
        <f t="shared" si="1"/>
        <v>3671</v>
      </c>
      <c r="F16" s="338">
        <v>1780</v>
      </c>
      <c r="G16" s="6">
        <f t="shared" si="2"/>
        <v>-23</v>
      </c>
      <c r="H16" s="7">
        <f t="shared" si="0"/>
        <v>-1.2756516916250693</v>
      </c>
      <c r="J16" s="594">
        <v>3313</v>
      </c>
    </row>
    <row r="17" spans="2:10" x14ac:dyDescent="0.25">
      <c r="B17" s="175" t="s">
        <v>22</v>
      </c>
      <c r="C17" s="50">
        <v>758</v>
      </c>
      <c r="D17" s="9">
        <v>907</v>
      </c>
      <c r="E17" s="333">
        <f t="shared" si="1"/>
        <v>1665</v>
      </c>
      <c r="F17" s="338">
        <v>693</v>
      </c>
      <c r="G17" s="6">
        <f t="shared" si="2"/>
        <v>-65</v>
      </c>
      <c r="H17" s="7">
        <f t="shared" si="0"/>
        <v>-8.5751978891820588</v>
      </c>
      <c r="J17" s="594">
        <v>1744</v>
      </c>
    </row>
    <row r="18" spans="2:10" x14ac:dyDescent="0.25">
      <c r="B18" s="175" t="s">
        <v>23</v>
      </c>
      <c r="C18" s="50">
        <v>2082</v>
      </c>
      <c r="D18" s="9">
        <v>2239</v>
      </c>
      <c r="E18" s="333">
        <f t="shared" si="1"/>
        <v>4321</v>
      </c>
      <c r="F18" s="338">
        <v>1836</v>
      </c>
      <c r="G18" s="6">
        <f t="shared" si="2"/>
        <v>-246</v>
      </c>
      <c r="H18" s="7">
        <f t="shared" si="0"/>
        <v>-11.815561959654179</v>
      </c>
      <c r="J18" s="594">
        <v>4205</v>
      </c>
    </row>
    <row r="19" spans="2:10" x14ac:dyDescent="0.25">
      <c r="B19" s="175" t="s">
        <v>24</v>
      </c>
      <c r="C19" s="50">
        <v>1189</v>
      </c>
      <c r="D19" s="9">
        <v>1569</v>
      </c>
      <c r="E19" s="333">
        <f t="shared" si="1"/>
        <v>2758</v>
      </c>
      <c r="F19" s="338">
        <v>1153</v>
      </c>
      <c r="G19" s="6">
        <f t="shared" si="2"/>
        <v>-36</v>
      </c>
      <c r="H19" s="7">
        <f t="shared" si="0"/>
        <v>-3.0277544154751892</v>
      </c>
      <c r="J19" s="594">
        <v>2664</v>
      </c>
    </row>
    <row r="20" spans="2:10" x14ac:dyDescent="0.25">
      <c r="B20" s="175" t="s">
        <v>25</v>
      </c>
      <c r="C20" s="50">
        <v>1984</v>
      </c>
      <c r="D20" s="9">
        <v>2017</v>
      </c>
      <c r="E20" s="333">
        <f t="shared" si="1"/>
        <v>4001</v>
      </c>
      <c r="F20" s="338">
        <v>1773</v>
      </c>
      <c r="G20" s="6">
        <f t="shared" si="2"/>
        <v>-211</v>
      </c>
      <c r="H20" s="7">
        <f t="shared" si="0"/>
        <v>-10.63508064516129</v>
      </c>
      <c r="J20" s="594">
        <v>4098</v>
      </c>
    </row>
    <row r="21" spans="2:10" x14ac:dyDescent="0.25">
      <c r="B21" s="175" t="s">
        <v>26</v>
      </c>
      <c r="C21" s="50">
        <v>2716</v>
      </c>
      <c r="D21" s="9">
        <v>2597</v>
      </c>
      <c r="E21" s="333">
        <f t="shared" si="1"/>
        <v>5313</v>
      </c>
      <c r="F21" s="338">
        <v>2210</v>
      </c>
      <c r="G21" s="6">
        <f t="shared" si="2"/>
        <v>-506</v>
      </c>
      <c r="H21" s="7">
        <f t="shared" si="0"/>
        <v>-18.630338733431518</v>
      </c>
      <c r="J21" s="594">
        <v>5705</v>
      </c>
    </row>
    <row r="22" spans="2:10" x14ac:dyDescent="0.25">
      <c r="B22" s="175" t="s">
        <v>27</v>
      </c>
      <c r="C22" s="50">
        <v>1820</v>
      </c>
      <c r="D22" s="9">
        <v>1936</v>
      </c>
      <c r="E22" s="333">
        <f t="shared" si="1"/>
        <v>3756</v>
      </c>
      <c r="F22" s="338">
        <v>1684</v>
      </c>
      <c r="G22" s="6">
        <f t="shared" si="2"/>
        <v>-136</v>
      </c>
      <c r="H22" s="7">
        <f t="shared" si="0"/>
        <v>-7.4725274725274726</v>
      </c>
      <c r="J22" s="594">
        <v>3828</v>
      </c>
    </row>
    <row r="23" spans="2:10" x14ac:dyDescent="0.25">
      <c r="B23" s="176" t="s">
        <v>28</v>
      </c>
      <c r="C23" s="51">
        <v>1539</v>
      </c>
      <c r="D23" s="334">
        <v>1890</v>
      </c>
      <c r="E23" s="335">
        <f t="shared" si="1"/>
        <v>3429</v>
      </c>
      <c r="F23" s="339">
        <v>1631</v>
      </c>
      <c r="G23" s="6">
        <f t="shared" si="2"/>
        <v>92</v>
      </c>
      <c r="H23" s="7">
        <f t="shared" si="0"/>
        <v>5.9779077322936969</v>
      </c>
      <c r="J23" s="594">
        <v>3348</v>
      </c>
    </row>
    <row r="24" spans="2:10" x14ac:dyDescent="0.25">
      <c r="B24" s="176" t="s">
        <v>29</v>
      </c>
      <c r="C24" s="51">
        <v>2221</v>
      </c>
      <c r="D24" s="334">
        <v>2546</v>
      </c>
      <c r="E24" s="335">
        <f t="shared" si="1"/>
        <v>4767</v>
      </c>
      <c r="F24" s="339">
        <v>2142</v>
      </c>
      <c r="G24" s="6">
        <f t="shared" si="2"/>
        <v>-79</v>
      </c>
      <c r="H24" s="7">
        <f t="shared" si="0"/>
        <v>-3.5569563259792889</v>
      </c>
      <c r="J24" s="594">
        <v>4723</v>
      </c>
    </row>
    <row r="25" spans="2:10" x14ac:dyDescent="0.25">
      <c r="B25" s="176" t="s">
        <v>30</v>
      </c>
      <c r="C25" s="51">
        <v>1863</v>
      </c>
      <c r="D25" s="334">
        <v>1991</v>
      </c>
      <c r="E25" s="335">
        <f t="shared" si="1"/>
        <v>3854</v>
      </c>
      <c r="F25" s="339">
        <v>1891</v>
      </c>
      <c r="G25" s="6">
        <f t="shared" si="2"/>
        <v>28</v>
      </c>
      <c r="H25" s="7">
        <f t="shared" si="0"/>
        <v>1.5029522275899088</v>
      </c>
      <c r="J25" s="594">
        <v>3848</v>
      </c>
    </row>
    <row r="26" spans="2:10" x14ac:dyDescent="0.25">
      <c r="B26" s="176" t="s">
        <v>31</v>
      </c>
      <c r="C26" s="51">
        <v>2571</v>
      </c>
      <c r="D26" s="334">
        <v>2741</v>
      </c>
      <c r="E26" s="335">
        <f t="shared" si="1"/>
        <v>5312</v>
      </c>
      <c r="F26" s="339">
        <v>2448</v>
      </c>
      <c r="G26" s="6">
        <f t="shared" si="2"/>
        <v>-123</v>
      </c>
      <c r="H26" s="7">
        <f t="shared" si="0"/>
        <v>-4.7841306884480748</v>
      </c>
      <c r="J26" s="594">
        <v>5314</v>
      </c>
    </row>
    <row r="27" spans="2:10" x14ac:dyDescent="0.25">
      <c r="B27" s="176" t="s">
        <v>32</v>
      </c>
      <c r="C27" s="51">
        <v>1770</v>
      </c>
      <c r="D27" s="334">
        <v>1839</v>
      </c>
      <c r="E27" s="335">
        <f t="shared" si="1"/>
        <v>3609</v>
      </c>
      <c r="F27" s="339">
        <v>1744</v>
      </c>
      <c r="G27" s="6">
        <f t="shared" si="2"/>
        <v>-26</v>
      </c>
      <c r="H27" s="7">
        <f t="shared" si="0"/>
        <v>-1.4689265536723164</v>
      </c>
      <c r="J27" s="594">
        <v>3699</v>
      </c>
    </row>
    <row r="28" spans="2:10" x14ac:dyDescent="0.25">
      <c r="B28" s="176" t="s">
        <v>33</v>
      </c>
      <c r="C28" s="51">
        <v>1880</v>
      </c>
      <c r="D28" s="334">
        <v>1889</v>
      </c>
      <c r="E28" s="335">
        <f t="shared" si="1"/>
        <v>3769</v>
      </c>
      <c r="F28" s="339">
        <v>1621</v>
      </c>
      <c r="G28" s="6">
        <f t="shared" si="2"/>
        <v>-259</v>
      </c>
      <c r="H28" s="7">
        <f t="shared" si="0"/>
        <v>-13.776595744680851</v>
      </c>
      <c r="J28" s="594">
        <v>4055</v>
      </c>
    </row>
    <row r="29" spans="2:10" x14ac:dyDescent="0.25">
      <c r="B29" s="176" t="s">
        <v>34</v>
      </c>
      <c r="C29" s="51">
        <v>1950</v>
      </c>
      <c r="D29" s="334">
        <v>2074</v>
      </c>
      <c r="E29" s="335">
        <f t="shared" si="1"/>
        <v>4024</v>
      </c>
      <c r="F29" s="339">
        <v>1767</v>
      </c>
      <c r="G29" s="6">
        <f t="shared" si="2"/>
        <v>-183</v>
      </c>
      <c r="H29" s="7">
        <f t="shared" si="0"/>
        <v>-9.384615384615385</v>
      </c>
      <c r="J29" s="594">
        <v>3964</v>
      </c>
    </row>
    <row r="30" spans="2:10" x14ac:dyDescent="0.25">
      <c r="B30" s="176" t="s">
        <v>35</v>
      </c>
      <c r="C30" s="51">
        <v>1055</v>
      </c>
      <c r="D30" s="334">
        <v>1017</v>
      </c>
      <c r="E30" s="335">
        <f t="shared" si="1"/>
        <v>2072</v>
      </c>
      <c r="F30" s="339">
        <v>888</v>
      </c>
      <c r="G30" s="6">
        <f t="shared" si="2"/>
        <v>-167</v>
      </c>
      <c r="H30" s="7">
        <f t="shared" si="0"/>
        <v>-15.829383886255924</v>
      </c>
      <c r="J30" s="594">
        <v>2067</v>
      </c>
    </row>
    <row r="31" spans="2:10" x14ac:dyDescent="0.25">
      <c r="B31" s="176" t="s">
        <v>36</v>
      </c>
      <c r="C31" s="51">
        <v>704</v>
      </c>
      <c r="D31" s="334">
        <v>723</v>
      </c>
      <c r="E31" s="335">
        <f t="shared" si="1"/>
        <v>1427</v>
      </c>
      <c r="F31" s="339">
        <v>733</v>
      </c>
      <c r="G31" s="6">
        <f t="shared" si="2"/>
        <v>29</v>
      </c>
      <c r="H31" s="7">
        <f t="shared" si="0"/>
        <v>4.1193181818181817</v>
      </c>
      <c r="J31" s="594">
        <v>1399</v>
      </c>
    </row>
    <row r="32" spans="2:10" x14ac:dyDescent="0.25">
      <c r="B32" s="176" t="s">
        <v>37</v>
      </c>
      <c r="C32" s="51">
        <v>1248</v>
      </c>
      <c r="D32" s="334">
        <v>1248</v>
      </c>
      <c r="E32" s="335">
        <f t="shared" si="1"/>
        <v>2496</v>
      </c>
      <c r="F32" s="339">
        <v>1248</v>
      </c>
      <c r="G32" s="6">
        <f t="shared" si="2"/>
        <v>0</v>
      </c>
      <c r="H32" s="7">
        <f t="shared" si="0"/>
        <v>0</v>
      </c>
      <c r="J32" s="594">
        <v>2614</v>
      </c>
    </row>
    <row r="33" spans="2:10" x14ac:dyDescent="0.25">
      <c r="B33" s="176" t="s">
        <v>38</v>
      </c>
      <c r="C33" s="51">
        <v>3107</v>
      </c>
      <c r="D33" s="334">
        <v>2932</v>
      </c>
      <c r="E33" s="335">
        <f t="shared" si="1"/>
        <v>6039</v>
      </c>
      <c r="F33" s="339">
        <v>2834</v>
      </c>
      <c r="G33" s="6">
        <f t="shared" si="2"/>
        <v>-273</v>
      </c>
      <c r="H33" s="7">
        <f t="shared" si="0"/>
        <v>-8.7866108786610866</v>
      </c>
      <c r="J33" s="594">
        <v>6515</v>
      </c>
    </row>
    <row r="34" spans="2:10" ht="15.75" thickBot="1" x14ac:dyDescent="0.3">
      <c r="B34" s="177" t="s">
        <v>39</v>
      </c>
      <c r="C34" s="52">
        <v>932</v>
      </c>
      <c r="D34" s="336">
        <v>894</v>
      </c>
      <c r="E34" s="337">
        <f t="shared" si="1"/>
        <v>1826</v>
      </c>
      <c r="F34" s="340">
        <v>790</v>
      </c>
      <c r="G34" s="4">
        <f t="shared" si="2"/>
        <v>-142</v>
      </c>
      <c r="H34" s="8">
        <f t="shared" si="0"/>
        <v>-15.236051502145923</v>
      </c>
      <c r="J34" s="594">
        <v>1867</v>
      </c>
    </row>
    <row r="35" spans="2:10" x14ac:dyDescent="0.25">
      <c r="D35" s="56"/>
      <c r="E35" s="359">
        <f>SUM(E10:E34)</f>
        <v>92228</v>
      </c>
      <c r="F35" s="56"/>
    </row>
  </sheetData>
  <mergeCells count="9">
    <mergeCell ref="B5:B8"/>
    <mergeCell ref="C5:H5"/>
    <mergeCell ref="D6:D8"/>
    <mergeCell ref="C6:C8"/>
    <mergeCell ref="G6:H6"/>
    <mergeCell ref="G7:G8"/>
    <mergeCell ref="H7:H8"/>
    <mergeCell ref="E6:E8"/>
    <mergeCell ref="F6:F8"/>
  </mergeCells>
  <printOptions horizontalCentered="1" verticalCentered="1"/>
  <pageMargins left="3.937007874015748E-2" right="3.937007874015748E-2" top="3.937007874015748E-2" bottom="3.937007874015748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B1:J42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60.28515625" style="11" customWidth="1"/>
    <col min="3" max="3" width="10.28515625" style="11" customWidth="1"/>
    <col min="4" max="4" width="9.140625" style="11" customWidth="1"/>
    <col min="5" max="5" width="11" style="11" customWidth="1"/>
    <col min="6" max="6" width="8.7109375" style="11" customWidth="1"/>
    <col min="7" max="7" width="13.5703125" style="11" customWidth="1"/>
    <col min="8" max="8" width="9.140625" style="11"/>
    <col min="9" max="9" width="8" style="11" customWidth="1"/>
    <col min="10" max="16384" width="9.140625" style="11"/>
  </cols>
  <sheetData>
    <row r="1" spans="2:10" x14ac:dyDescent="0.25">
      <c r="B1" s="11" t="s">
        <v>550</v>
      </c>
    </row>
    <row r="2" spans="2:10" ht="15.75" thickBot="1" x14ac:dyDescent="0.3">
      <c r="B2" s="11" t="s">
        <v>551</v>
      </c>
    </row>
    <row r="3" spans="2:10" x14ac:dyDescent="0.25">
      <c r="B3" s="977" t="s">
        <v>103</v>
      </c>
      <c r="C3" s="993" t="s">
        <v>424</v>
      </c>
      <c r="D3" s="1015"/>
      <c r="E3" s="993" t="s">
        <v>492</v>
      </c>
      <c r="F3" s="1015"/>
      <c r="G3" s="977" t="s">
        <v>109</v>
      </c>
    </row>
    <row r="4" spans="2:10" x14ac:dyDescent="0.25">
      <c r="B4" s="1013"/>
      <c r="C4" s="1016"/>
      <c r="D4" s="1017"/>
      <c r="E4" s="1016"/>
      <c r="F4" s="1017"/>
      <c r="G4" s="1018"/>
    </row>
    <row r="5" spans="2:10" ht="43.5" customHeight="1" thickBot="1" x14ac:dyDescent="0.3">
      <c r="B5" s="1014"/>
      <c r="C5" s="654" t="s">
        <v>4</v>
      </c>
      <c r="D5" s="643" t="s">
        <v>369</v>
      </c>
      <c r="E5" s="654" t="s">
        <v>4</v>
      </c>
      <c r="F5" s="643" t="s">
        <v>369</v>
      </c>
      <c r="G5" s="657" t="s">
        <v>4</v>
      </c>
    </row>
    <row r="6" spans="2:10" ht="30" customHeight="1" thickBot="1" x14ac:dyDescent="0.3">
      <c r="B6" s="22" t="s">
        <v>119</v>
      </c>
      <c r="C6" s="83">
        <v>48793</v>
      </c>
      <c r="D6" s="84">
        <v>100</v>
      </c>
      <c r="E6" s="83">
        <v>45529</v>
      </c>
      <c r="F6" s="84">
        <v>100</v>
      </c>
      <c r="G6" s="85">
        <f>SUM(E6)-C6</f>
        <v>-3264</v>
      </c>
    </row>
    <row r="7" spans="2:10" ht="30.75" customHeight="1" thickBot="1" x14ac:dyDescent="0.3">
      <c r="B7" s="42" t="s">
        <v>120</v>
      </c>
      <c r="C7" s="43">
        <f>SUM(C8)+C25</f>
        <v>43613</v>
      </c>
      <c r="D7" s="281">
        <f>SUM(C7)/C6*100</f>
        <v>89.383723075031256</v>
      </c>
      <c r="E7" s="43">
        <f>SUM(E8)+E25</f>
        <v>40980</v>
      </c>
      <c r="F7" s="281">
        <f>SUM(E7)/E6*100</f>
        <v>90.008565968942861</v>
      </c>
      <c r="G7" s="205">
        <f>SUM(E7)-C7</f>
        <v>-2633</v>
      </c>
    </row>
    <row r="8" spans="2:10" ht="22.5" customHeight="1" x14ac:dyDescent="0.25">
      <c r="B8" s="663" t="s">
        <v>121</v>
      </c>
      <c r="C8" s="664">
        <v>27913</v>
      </c>
      <c r="D8" s="665">
        <f>SUM(C8)/C6*100</f>
        <v>57.206976410550695</v>
      </c>
      <c r="E8" s="664">
        <v>26937</v>
      </c>
      <c r="F8" s="665">
        <f>SUM(E8)/E6*100</f>
        <v>59.164488567726067</v>
      </c>
      <c r="G8" s="666">
        <f>SUM(E8)-C8</f>
        <v>-976</v>
      </c>
    </row>
    <row r="9" spans="2:10" ht="17.25" customHeight="1" x14ac:dyDescent="0.25">
      <c r="B9" s="57" t="s">
        <v>1</v>
      </c>
      <c r="C9" s="58"/>
      <c r="D9" s="59"/>
      <c r="E9" s="58"/>
      <c r="F9" s="59"/>
      <c r="G9" s="79"/>
    </row>
    <row r="10" spans="2:10" ht="24" customHeight="1" x14ac:dyDescent="0.25">
      <c r="B10" s="667" t="s">
        <v>122</v>
      </c>
      <c r="C10" s="668">
        <v>21956</v>
      </c>
      <c r="D10" s="669">
        <f>SUM(C10)/C6*100</f>
        <v>44.998257946836631</v>
      </c>
      <c r="E10" s="668">
        <v>21136</v>
      </c>
      <c r="F10" s="669">
        <f>SUM(E10)/E6*100</f>
        <v>46.423158865777857</v>
      </c>
      <c r="G10" s="670">
        <f>SUM(E10)-C10</f>
        <v>-820</v>
      </c>
      <c r="H10" s="48"/>
      <c r="I10" s="48"/>
    </row>
    <row r="11" spans="2:10" ht="22.5" customHeight="1" thickBot="1" x14ac:dyDescent="0.3">
      <c r="B11" s="671" t="s">
        <v>123</v>
      </c>
      <c r="C11" s="672">
        <v>5957</v>
      </c>
      <c r="D11" s="673">
        <f>SUM(C11)/C6*100</f>
        <v>12.208718463714058</v>
      </c>
      <c r="E11" s="672">
        <v>5801</v>
      </c>
      <c r="F11" s="673">
        <f>SUM(E11)/E6*100</f>
        <v>12.741329701948208</v>
      </c>
      <c r="G11" s="674">
        <f>SUM(E11)-C11</f>
        <v>-156</v>
      </c>
      <c r="H11" s="296"/>
      <c r="I11" s="361">
        <f>SUM(C10:C11)</f>
        <v>27913</v>
      </c>
      <c r="J11" s="361">
        <f>SUM(E10:E11)</f>
        <v>26937</v>
      </c>
    </row>
    <row r="12" spans="2:10" ht="26.25" customHeight="1" thickTop="1" x14ac:dyDescent="0.25">
      <c r="B12" s="306" t="s">
        <v>124</v>
      </c>
      <c r="C12" s="307"/>
      <c r="D12" s="308"/>
      <c r="E12" s="307"/>
      <c r="F12" s="308"/>
      <c r="G12" s="309"/>
      <c r="I12" s="296"/>
    </row>
    <row r="13" spans="2:10" ht="26.25" customHeight="1" x14ac:dyDescent="0.25">
      <c r="B13" s="73" t="s">
        <v>125</v>
      </c>
      <c r="C13" s="30">
        <v>2031</v>
      </c>
      <c r="D13" s="68">
        <f>SUM(C13)/C6*100</f>
        <v>4.1624823232840775</v>
      </c>
      <c r="E13" s="30">
        <v>1813</v>
      </c>
      <c r="F13" s="68">
        <f>SUM(E13)/E6*100</f>
        <v>3.9820773572887611</v>
      </c>
      <c r="G13" s="34">
        <f t="shared" ref="G13:G42" si="0">SUM(E13)-C13</f>
        <v>-218</v>
      </c>
    </row>
    <row r="14" spans="2:10" ht="26.25" customHeight="1" x14ac:dyDescent="0.25">
      <c r="B14" s="60" t="s">
        <v>126</v>
      </c>
      <c r="C14" s="13">
        <v>1377</v>
      </c>
      <c r="D14" s="61">
        <f>SUM(C14)/C6*100</f>
        <v>2.8221261246490275</v>
      </c>
      <c r="E14" s="13">
        <v>1192</v>
      </c>
      <c r="F14" s="61">
        <f>SUM(E14)/E6*100</f>
        <v>2.6181115333084408</v>
      </c>
      <c r="G14" s="32">
        <f t="shared" si="0"/>
        <v>-185</v>
      </c>
    </row>
    <row r="15" spans="2:10" ht="28.5" customHeight="1" x14ac:dyDescent="0.25">
      <c r="B15" s="60" t="s">
        <v>127</v>
      </c>
      <c r="C15" s="13">
        <v>978</v>
      </c>
      <c r="D15" s="61">
        <f>SUM(C15)/C6*100</f>
        <v>2.0043858750230568</v>
      </c>
      <c r="E15" s="13">
        <v>1032</v>
      </c>
      <c r="F15" s="61">
        <f>SUM(E15)/E6*100</f>
        <v>2.2666871664214017</v>
      </c>
      <c r="G15" s="32">
        <f t="shared" si="0"/>
        <v>54</v>
      </c>
    </row>
    <row r="16" spans="2:10" ht="27" customHeight="1" x14ac:dyDescent="0.25">
      <c r="B16" s="310" t="s">
        <v>128</v>
      </c>
      <c r="C16" s="13">
        <v>5</v>
      </c>
      <c r="D16" s="61">
        <f>SUM(C16)/C6*100</f>
        <v>1.0247371549197632E-2</v>
      </c>
      <c r="E16" s="62">
        <v>8</v>
      </c>
      <c r="F16" s="63">
        <f>SUM(E16)/E6*100</f>
        <v>1.7571218344351949E-2</v>
      </c>
      <c r="G16" s="80">
        <f t="shared" si="0"/>
        <v>3</v>
      </c>
    </row>
    <row r="17" spans="2:7" ht="30" x14ac:dyDescent="0.25">
      <c r="B17" s="60" t="s">
        <v>79</v>
      </c>
      <c r="C17" s="13">
        <v>900</v>
      </c>
      <c r="D17" s="61">
        <f>SUM(C17)/C6*100</f>
        <v>1.8445268788555735</v>
      </c>
      <c r="E17" s="13">
        <v>1049</v>
      </c>
      <c r="F17" s="61">
        <f>SUM(E17)/E6*100</f>
        <v>2.3040260054031498</v>
      </c>
      <c r="G17" s="32">
        <f t="shared" si="0"/>
        <v>149</v>
      </c>
    </row>
    <row r="18" spans="2:7" ht="34.5" customHeight="1" x14ac:dyDescent="0.25">
      <c r="B18" s="60" t="s">
        <v>87</v>
      </c>
      <c r="C18" s="13">
        <v>457</v>
      </c>
      <c r="D18" s="61">
        <f>SUM(C18)/C6*100</f>
        <v>0.93660975959666337</v>
      </c>
      <c r="E18" s="62">
        <v>486</v>
      </c>
      <c r="F18" s="63">
        <f>SUM(E18)/E6*100</f>
        <v>1.067451514419381</v>
      </c>
      <c r="G18" s="80">
        <f t="shared" si="0"/>
        <v>29</v>
      </c>
    </row>
    <row r="19" spans="2:7" ht="30" customHeight="1" x14ac:dyDescent="0.25">
      <c r="B19" s="60" t="s">
        <v>129</v>
      </c>
      <c r="C19" s="13">
        <v>30</v>
      </c>
      <c r="D19" s="61">
        <f>SUM(C19)/C6*100</f>
        <v>6.1484229295185787E-2</v>
      </c>
      <c r="E19" s="62">
        <v>23</v>
      </c>
      <c r="F19" s="63">
        <f>SUM(E19)/E6*100</f>
        <v>5.0517252740011863E-2</v>
      </c>
      <c r="G19" s="80">
        <f t="shared" si="0"/>
        <v>-7</v>
      </c>
    </row>
    <row r="20" spans="2:7" ht="32.25" customHeight="1" x14ac:dyDescent="0.25">
      <c r="B20" s="60" t="s">
        <v>130</v>
      </c>
      <c r="C20" s="13">
        <v>0</v>
      </c>
      <c r="D20" s="61">
        <f>SUM(C20)/C6*100</f>
        <v>0</v>
      </c>
      <c r="E20" s="62">
        <v>0</v>
      </c>
      <c r="F20" s="63">
        <f>SUM(E20)/E6*100</f>
        <v>0</v>
      </c>
      <c r="G20" s="80">
        <f t="shared" si="0"/>
        <v>0</v>
      </c>
    </row>
    <row r="21" spans="2:7" ht="33.75" customHeight="1" x14ac:dyDescent="0.25">
      <c r="B21" s="60" t="s">
        <v>493</v>
      </c>
      <c r="C21" s="13">
        <v>0</v>
      </c>
      <c r="D21" s="61">
        <f>SUM(C21)/C6*100</f>
        <v>0</v>
      </c>
      <c r="E21" s="62">
        <v>0</v>
      </c>
      <c r="F21" s="63">
        <f>SUM(E21)/E6*100</f>
        <v>0</v>
      </c>
      <c r="G21" s="80">
        <f t="shared" si="0"/>
        <v>0</v>
      </c>
    </row>
    <row r="22" spans="2:7" ht="36.75" customHeight="1" x14ac:dyDescent="0.25">
      <c r="B22" s="60" t="s">
        <v>131</v>
      </c>
      <c r="C22" s="13">
        <v>0</v>
      </c>
      <c r="D22" s="61">
        <f>SUM(C22)/C6*100</f>
        <v>0</v>
      </c>
      <c r="E22" s="62">
        <v>0</v>
      </c>
      <c r="F22" s="63">
        <f>SUM(E22)/E6*100</f>
        <v>0</v>
      </c>
      <c r="G22" s="80">
        <f t="shared" si="0"/>
        <v>0</v>
      </c>
    </row>
    <row r="23" spans="2:7" ht="30" customHeight="1" x14ac:dyDescent="0.25">
      <c r="B23" s="74" t="s">
        <v>132</v>
      </c>
      <c r="C23" s="28">
        <v>55</v>
      </c>
      <c r="D23" s="66">
        <f>SUM(C23)/C6*100</f>
        <v>0.11272108704117395</v>
      </c>
      <c r="E23" s="75">
        <v>70</v>
      </c>
      <c r="F23" s="76">
        <f>SUM(E23)/E6*100</f>
        <v>0.15374816051307957</v>
      </c>
      <c r="G23" s="81">
        <f t="shared" si="0"/>
        <v>15</v>
      </c>
    </row>
    <row r="24" spans="2:7" ht="27.75" customHeight="1" thickBot="1" x14ac:dyDescent="0.3">
      <c r="B24" s="304" t="s">
        <v>139</v>
      </c>
      <c r="C24" s="28">
        <v>129</v>
      </c>
      <c r="D24" s="66">
        <f>SUM(C24)/C6*100</f>
        <v>0.26438218596929891</v>
      </c>
      <c r="E24" s="28">
        <v>136</v>
      </c>
      <c r="F24" s="66">
        <f>SUM(E24)/E6*100</f>
        <v>0.29871071185398318</v>
      </c>
      <c r="G24" s="33">
        <f t="shared" si="0"/>
        <v>7</v>
      </c>
    </row>
    <row r="25" spans="2:7" ht="20.25" customHeight="1" thickBot="1" x14ac:dyDescent="0.3">
      <c r="B25" s="622" t="s">
        <v>133</v>
      </c>
      <c r="C25" s="624">
        <f>SUM(C26:C33)</f>
        <v>15700</v>
      </c>
      <c r="D25" s="675">
        <f>SUM(C25)/C6*100</f>
        <v>32.176746664480561</v>
      </c>
      <c r="E25" s="624">
        <f>SUM(E26:E33)</f>
        <v>14043</v>
      </c>
      <c r="F25" s="675">
        <f>SUM(E25)/E6*100</f>
        <v>30.844077401216808</v>
      </c>
      <c r="G25" s="625">
        <f t="shared" si="0"/>
        <v>-1657</v>
      </c>
    </row>
    <row r="26" spans="2:7" ht="60" customHeight="1" x14ac:dyDescent="0.25">
      <c r="B26" s="67" t="s">
        <v>134</v>
      </c>
      <c r="C26" s="305">
        <v>602</v>
      </c>
      <c r="D26" s="68">
        <f>SUM(C26)/C6*100</f>
        <v>1.2337835345233947</v>
      </c>
      <c r="E26" s="305">
        <v>375</v>
      </c>
      <c r="F26" s="68">
        <f>SUM(E26)/E6*100</f>
        <v>0.82365085989149767</v>
      </c>
      <c r="G26" s="34">
        <f t="shared" si="0"/>
        <v>-227</v>
      </c>
    </row>
    <row r="27" spans="2:7" ht="24" customHeight="1" x14ac:dyDescent="0.25">
      <c r="B27" s="64" t="s">
        <v>135</v>
      </c>
      <c r="C27" s="62">
        <v>6673</v>
      </c>
      <c r="D27" s="61">
        <f>SUM(C27)/C6*100</f>
        <v>13.676142069559157</v>
      </c>
      <c r="E27" s="62">
        <v>6217</v>
      </c>
      <c r="F27" s="61">
        <f>SUM(E27)/E6*100</f>
        <v>13.65503305585451</v>
      </c>
      <c r="G27" s="32">
        <f t="shared" si="0"/>
        <v>-456</v>
      </c>
    </row>
    <row r="28" spans="2:7" ht="27" customHeight="1" x14ac:dyDescent="0.25">
      <c r="B28" s="64" t="s">
        <v>89</v>
      </c>
      <c r="C28" s="13">
        <v>3481</v>
      </c>
      <c r="D28" s="61">
        <f>SUM(C28)/C6*100</f>
        <v>7.1342200725513907</v>
      </c>
      <c r="E28" s="13">
        <v>3103</v>
      </c>
      <c r="F28" s="61">
        <f>SUM(E28)/E6*100</f>
        <v>6.8154363153155133</v>
      </c>
      <c r="G28" s="32">
        <f t="shared" si="0"/>
        <v>-378</v>
      </c>
    </row>
    <row r="29" spans="2:7" ht="24" customHeight="1" x14ac:dyDescent="0.25">
      <c r="B29" s="64" t="s">
        <v>90</v>
      </c>
      <c r="C29" s="13">
        <v>30</v>
      </c>
      <c r="D29" s="61">
        <f>SUM(C29)/C6*100</f>
        <v>6.1484229295185787E-2</v>
      </c>
      <c r="E29" s="13">
        <v>18</v>
      </c>
      <c r="F29" s="61">
        <f>SUM(E29)/E6*100</f>
        <v>3.9535241274791889E-2</v>
      </c>
      <c r="G29" s="32">
        <f t="shared" si="0"/>
        <v>-12</v>
      </c>
    </row>
    <row r="30" spans="2:7" ht="30" customHeight="1" x14ac:dyDescent="0.25">
      <c r="B30" s="64" t="s">
        <v>91</v>
      </c>
      <c r="C30" s="13">
        <v>828</v>
      </c>
      <c r="D30" s="61">
        <f>SUM(C30)/C6*100</f>
        <v>1.6969647285471277</v>
      </c>
      <c r="E30" s="13">
        <v>859</v>
      </c>
      <c r="F30" s="61">
        <f>SUM(E30)/E6*100</f>
        <v>1.8867095697247909</v>
      </c>
      <c r="G30" s="32">
        <f t="shared" si="0"/>
        <v>31</v>
      </c>
    </row>
    <row r="31" spans="2:7" ht="29.25" customHeight="1" x14ac:dyDescent="0.25">
      <c r="B31" s="64" t="s">
        <v>84</v>
      </c>
      <c r="C31" s="13">
        <v>187</v>
      </c>
      <c r="D31" s="61">
        <f>SUM(C31)/C6*100</f>
        <v>0.38325169593999137</v>
      </c>
      <c r="E31" s="13">
        <v>232</v>
      </c>
      <c r="F31" s="61">
        <f>SUM(E31)/E6*100</f>
        <v>0.50956533198620657</v>
      </c>
      <c r="G31" s="32">
        <f t="shared" si="0"/>
        <v>45</v>
      </c>
    </row>
    <row r="32" spans="2:7" ht="28.5" customHeight="1" x14ac:dyDescent="0.25">
      <c r="B32" s="65" t="s">
        <v>85</v>
      </c>
      <c r="C32" s="28">
        <v>231</v>
      </c>
      <c r="D32" s="66">
        <f>SUM(C32)/C6*100</f>
        <v>0.47342856557293056</v>
      </c>
      <c r="E32" s="28">
        <v>236</v>
      </c>
      <c r="F32" s="66">
        <f>SUM(E32)/E6*100</f>
        <v>0.51835094115838254</v>
      </c>
      <c r="G32" s="33">
        <f t="shared" si="0"/>
        <v>5</v>
      </c>
    </row>
    <row r="33" spans="2:7" ht="24.75" customHeight="1" thickBot="1" x14ac:dyDescent="0.3">
      <c r="B33" s="65" t="s">
        <v>92</v>
      </c>
      <c r="C33" s="28">
        <v>3668</v>
      </c>
      <c r="D33" s="66">
        <f>SUM(C33)/C6*100</f>
        <v>7.5174717684913821</v>
      </c>
      <c r="E33" s="28">
        <v>3003</v>
      </c>
      <c r="F33" s="66">
        <f>SUM(E33)/E6*100</f>
        <v>6.5957960860111129</v>
      </c>
      <c r="G33" s="33">
        <f t="shared" si="0"/>
        <v>-665</v>
      </c>
    </row>
    <row r="34" spans="2:7" ht="35.25" customHeight="1" thickBot="1" x14ac:dyDescent="0.3">
      <c r="B34" s="676" t="s">
        <v>419</v>
      </c>
      <c r="C34" s="677">
        <f>SUM(C35,C37,C39:C40,C42)</f>
        <v>5180</v>
      </c>
      <c r="D34" s="678">
        <f>SUM(C34)/C6*100</f>
        <v>10.616276924968746</v>
      </c>
      <c r="E34" s="677">
        <f>SUM(E35,E37,E39:E40,E42)</f>
        <v>4549</v>
      </c>
      <c r="F34" s="678">
        <f>SUM(E34)/E6*100</f>
        <v>9.9914340310571284</v>
      </c>
      <c r="G34" s="679">
        <f t="shared" si="0"/>
        <v>-631</v>
      </c>
    </row>
    <row r="35" spans="2:7" ht="27" customHeight="1" x14ac:dyDescent="0.25">
      <c r="B35" s="67" t="s">
        <v>80</v>
      </c>
      <c r="C35" s="30">
        <v>756</v>
      </c>
      <c r="D35" s="68">
        <f>SUM(C35)/C6*100</f>
        <v>1.5494025782386818</v>
      </c>
      <c r="E35" s="30">
        <v>912</v>
      </c>
      <c r="F35" s="68">
        <f>SUM(E35)/E6*100</f>
        <v>2.0031188912561229</v>
      </c>
      <c r="G35" s="34">
        <f t="shared" si="0"/>
        <v>156</v>
      </c>
    </row>
    <row r="36" spans="2:7" ht="23.25" customHeight="1" x14ac:dyDescent="0.25">
      <c r="B36" s="303" t="s">
        <v>136</v>
      </c>
      <c r="C36" s="13">
        <v>122</v>
      </c>
      <c r="D36" s="61">
        <f>SUM(C36)/C6*100</f>
        <v>0.2500358658004222</v>
      </c>
      <c r="E36" s="62">
        <v>134</v>
      </c>
      <c r="F36" s="68">
        <f>SUM(E36)/E6*100</f>
        <v>0.2943179072678952</v>
      </c>
      <c r="G36" s="80">
        <f t="shared" si="0"/>
        <v>12</v>
      </c>
    </row>
    <row r="37" spans="2:7" ht="25.5" customHeight="1" x14ac:dyDescent="0.25">
      <c r="B37" s="64" t="s">
        <v>81</v>
      </c>
      <c r="C37" s="13">
        <v>3927</v>
      </c>
      <c r="D37" s="61">
        <f>SUM(C37)/C6*100</f>
        <v>8.0482856147398198</v>
      </c>
      <c r="E37" s="13">
        <v>3155</v>
      </c>
      <c r="F37" s="61">
        <f>SUM(E37)/E6*100</f>
        <v>6.9296492345537999</v>
      </c>
      <c r="G37" s="32">
        <f t="shared" si="0"/>
        <v>-772</v>
      </c>
    </row>
    <row r="38" spans="2:7" ht="27" customHeight="1" x14ac:dyDescent="0.25">
      <c r="B38" s="303" t="s">
        <v>137</v>
      </c>
      <c r="C38" s="13">
        <v>4</v>
      </c>
      <c r="D38" s="61">
        <f>SUM(C38)/C6*100</f>
        <v>8.1978972393581036E-3</v>
      </c>
      <c r="E38" s="62">
        <v>3</v>
      </c>
      <c r="F38" s="63">
        <f>SUM(E38)/E6*100</f>
        <v>6.5892068791319819E-3</v>
      </c>
      <c r="G38" s="80">
        <f t="shared" si="0"/>
        <v>-1</v>
      </c>
    </row>
    <row r="39" spans="2:7" ht="28.5" customHeight="1" x14ac:dyDescent="0.25">
      <c r="B39" s="64" t="s">
        <v>82</v>
      </c>
      <c r="C39" s="13">
        <v>0</v>
      </c>
      <c r="D39" s="61">
        <f>SUM(C39)/C6*100</f>
        <v>0</v>
      </c>
      <c r="E39" s="13">
        <v>0</v>
      </c>
      <c r="F39" s="61">
        <f>SUM(E39)/E6*100</f>
        <v>0</v>
      </c>
      <c r="G39" s="32">
        <f t="shared" si="0"/>
        <v>0</v>
      </c>
    </row>
    <row r="40" spans="2:7" ht="25.5" customHeight="1" x14ac:dyDescent="0.25">
      <c r="B40" s="64" t="s">
        <v>83</v>
      </c>
      <c r="C40" s="13">
        <v>497</v>
      </c>
      <c r="D40" s="61">
        <f>SUM(C40)/C6*100</f>
        <v>1.0185887319902445</v>
      </c>
      <c r="E40" s="13">
        <v>482</v>
      </c>
      <c r="F40" s="61">
        <f>SUM(E40)/E6*100</f>
        <v>1.0586659052472052</v>
      </c>
      <c r="G40" s="32">
        <f t="shared" si="0"/>
        <v>-15</v>
      </c>
    </row>
    <row r="41" spans="2:7" ht="29.25" customHeight="1" x14ac:dyDescent="0.25">
      <c r="B41" s="303" t="s">
        <v>138</v>
      </c>
      <c r="C41" s="13">
        <v>9</v>
      </c>
      <c r="D41" s="61">
        <f>SUM(C41)/C6*100</f>
        <v>1.8445268788555735E-2</v>
      </c>
      <c r="E41" s="62">
        <v>9</v>
      </c>
      <c r="F41" s="63">
        <f>SUM(E41)/E6*100</f>
        <v>1.9767620637395945E-2</v>
      </c>
      <c r="G41" s="80">
        <f t="shared" si="0"/>
        <v>0</v>
      </c>
    </row>
    <row r="42" spans="2:7" ht="36" customHeight="1" thickBot="1" x14ac:dyDescent="0.3">
      <c r="B42" s="69" t="s">
        <v>88</v>
      </c>
      <c r="C42" s="18">
        <v>0</v>
      </c>
      <c r="D42" s="72">
        <f>SUM(C42)/C6*100</f>
        <v>0</v>
      </c>
      <c r="E42" s="70">
        <v>0</v>
      </c>
      <c r="F42" s="71">
        <f>SUM(E42)/E6*100</f>
        <v>0</v>
      </c>
      <c r="G42" s="82">
        <f t="shared" si="0"/>
        <v>0</v>
      </c>
    </row>
  </sheetData>
  <mergeCells count="4">
    <mergeCell ref="B3:B5"/>
    <mergeCell ref="E3:F4"/>
    <mergeCell ref="C3:D4"/>
    <mergeCell ref="G3:G4"/>
  </mergeCells>
  <pageMargins left="0.6692913385826772" right="0" top="0" bottom="0" header="0" footer="0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J13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38.28515625" style="2" customWidth="1"/>
    <col min="3" max="3" width="10" style="2" customWidth="1"/>
    <col min="4" max="4" width="8.5703125" style="2" customWidth="1"/>
    <col min="5" max="5" width="9.140625" style="2"/>
    <col min="6" max="6" width="8.140625" style="2" customWidth="1"/>
    <col min="7" max="7" width="9.140625" style="2" customWidth="1"/>
    <col min="8" max="8" width="8.85546875" style="2" customWidth="1"/>
    <col min="9" max="9" width="10.28515625" style="2" customWidth="1"/>
    <col min="10" max="16384" width="9.140625" style="2"/>
  </cols>
  <sheetData>
    <row r="2" spans="2:10" x14ac:dyDescent="0.25">
      <c r="B2" s="11" t="s">
        <v>552</v>
      </c>
    </row>
    <row r="3" spans="2:10" x14ac:dyDescent="0.25">
      <c r="B3" s="11" t="s">
        <v>309</v>
      </c>
    </row>
    <row r="4" spans="2:10" ht="15.75" thickBot="1" x14ac:dyDescent="0.3"/>
    <row r="5" spans="2:10" ht="27.75" customHeight="1" x14ac:dyDescent="0.25">
      <c r="B5" s="1019"/>
      <c r="C5" s="1021" t="s">
        <v>445</v>
      </c>
      <c r="D5" s="1021"/>
      <c r="E5" s="997" t="s">
        <v>494</v>
      </c>
      <c r="F5" s="1021"/>
      <c r="G5" s="1021" t="s">
        <v>109</v>
      </c>
      <c r="H5" s="996"/>
    </row>
    <row r="6" spans="2:10" ht="32.25" customHeight="1" thickBot="1" x14ac:dyDescent="0.3">
      <c r="B6" s="1020"/>
      <c r="C6" s="631" t="s">
        <v>107</v>
      </c>
      <c r="D6" s="631" t="s">
        <v>369</v>
      </c>
      <c r="E6" s="660" t="s">
        <v>107</v>
      </c>
      <c r="F6" s="631" t="s">
        <v>369</v>
      </c>
      <c r="G6" s="661" t="s">
        <v>107</v>
      </c>
      <c r="H6" s="662" t="s">
        <v>369</v>
      </c>
    </row>
    <row r="7" spans="2:10" ht="30" customHeight="1" x14ac:dyDescent="0.25">
      <c r="B7" s="438" t="s">
        <v>4</v>
      </c>
      <c r="C7" s="439">
        <v>27913</v>
      </c>
      <c r="D7" s="440">
        <f>SUM(D8:D9)</f>
        <v>100</v>
      </c>
      <c r="E7" s="441">
        <v>26937</v>
      </c>
      <c r="F7" s="440">
        <f>SUM(F8:F9)</f>
        <v>100</v>
      </c>
      <c r="G7" s="442">
        <f>E7-C7</f>
        <v>-976</v>
      </c>
      <c r="H7" s="443">
        <f>G7/C7*100</f>
        <v>-3.4965786551069398</v>
      </c>
    </row>
    <row r="8" spans="2:10" ht="29.25" customHeight="1" x14ac:dyDescent="0.25">
      <c r="B8" s="12" t="s">
        <v>5</v>
      </c>
      <c r="C8" s="9">
        <v>13831</v>
      </c>
      <c r="D8" s="10">
        <f>SUM(C8)/C7*100</f>
        <v>49.550388707770573</v>
      </c>
      <c r="E8" s="6">
        <v>13094</v>
      </c>
      <c r="F8" s="10">
        <f>SUM(E8)/E7*100</f>
        <v>48.609718973902069</v>
      </c>
      <c r="G8" s="98">
        <f>E8-C8</f>
        <v>-737</v>
      </c>
      <c r="H8" s="54">
        <f>E8*100/C8-100</f>
        <v>-5.3286096450003555</v>
      </c>
    </row>
    <row r="9" spans="2:10" ht="27.75" customHeight="1" thickBot="1" x14ac:dyDescent="0.3">
      <c r="B9" s="86" t="s">
        <v>6</v>
      </c>
      <c r="C9" s="5">
        <f>SUM(C7-C8)</f>
        <v>14082</v>
      </c>
      <c r="D9" s="47">
        <f>SUM(C9)/C7*100</f>
        <v>50.44961129222942</v>
      </c>
      <c r="E9" s="4">
        <f>SUM(E7)-E8</f>
        <v>13843</v>
      </c>
      <c r="F9" s="47">
        <f>SUM(E9)/E7*100</f>
        <v>51.390281026097931</v>
      </c>
      <c r="G9" s="99">
        <f>E9-C9</f>
        <v>-239</v>
      </c>
      <c r="H9" s="94">
        <f>E9*100/C9-100</f>
        <v>-1.6972021019741561</v>
      </c>
      <c r="J9" s="56"/>
    </row>
    <row r="10" spans="2:10" ht="25.5" customHeight="1" x14ac:dyDescent="0.25">
      <c r="B10" s="272" t="s">
        <v>141</v>
      </c>
      <c r="C10" s="273"/>
      <c r="D10" s="273"/>
      <c r="E10" s="273"/>
      <c r="F10" s="273"/>
      <c r="G10" s="273"/>
      <c r="H10" s="274"/>
    </row>
    <row r="11" spans="2:10" ht="25.5" customHeight="1" x14ac:dyDescent="0.25">
      <c r="B11" s="12" t="s">
        <v>142</v>
      </c>
      <c r="C11" s="9">
        <v>25383</v>
      </c>
      <c r="D11" s="10">
        <f>SUM(C11)/C7*100</f>
        <v>90.936122953462544</v>
      </c>
      <c r="E11" s="6">
        <v>24757</v>
      </c>
      <c r="F11" s="10">
        <f>SUM(E11)/E7*100</f>
        <v>91.907042358094813</v>
      </c>
      <c r="G11" s="91">
        <f>E11-C11</f>
        <v>-626</v>
      </c>
      <c r="H11" s="7">
        <f>E11*100/C11-100</f>
        <v>-2.4662175471772514</v>
      </c>
    </row>
    <row r="12" spans="2:10" ht="30" x14ac:dyDescent="0.25">
      <c r="B12" s="12" t="s">
        <v>143</v>
      </c>
      <c r="C12" s="14">
        <v>1086</v>
      </c>
      <c r="D12" s="89">
        <f>SUM(C12)/C7*100</f>
        <v>3.890660265825959</v>
      </c>
      <c r="E12" s="87">
        <v>1146</v>
      </c>
      <c r="F12" s="89">
        <f>SUM(E12)/E7*100</f>
        <v>4.2543713108363956</v>
      </c>
      <c r="G12" s="92">
        <f>E12-C12</f>
        <v>60</v>
      </c>
      <c r="H12" s="25">
        <f>E12*100/C12-100</f>
        <v>5.5248618784530379</v>
      </c>
    </row>
    <row r="13" spans="2:10" ht="23.25" customHeight="1" thickBot="1" x14ac:dyDescent="0.3">
      <c r="B13" s="301" t="s">
        <v>2</v>
      </c>
      <c r="C13" s="19">
        <v>2530</v>
      </c>
      <c r="D13" s="90">
        <f>SUM(C13)/C7*100</f>
        <v>9.0638770465374545</v>
      </c>
      <c r="E13" s="88">
        <v>2180</v>
      </c>
      <c r="F13" s="90">
        <f>SUM(E13)/E7*100</f>
        <v>8.092957641905187</v>
      </c>
      <c r="G13" s="93">
        <f>E13-C13</f>
        <v>-350</v>
      </c>
      <c r="H13" s="26">
        <f>E13*100/C13-100</f>
        <v>-13.833992094861657</v>
      </c>
    </row>
  </sheetData>
  <mergeCells count="4">
    <mergeCell ref="B5:B6"/>
    <mergeCell ref="E5:F5"/>
    <mergeCell ref="C5:D5"/>
    <mergeCell ref="G5:H5"/>
  </mergeCells>
  <pageMargins left="1.8897637795275593" right="0.70866141732283472" top="1.7322834645669292" bottom="0.74803149606299213" header="0.31496062992125984" footer="0.31496062992125984"/>
  <pageSetup paperSize="9" orientation="landscape" r:id="rId1"/>
  <ignoredErrors>
    <ignoredError sqref="E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B1:O32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1.7109375" style="11" customWidth="1"/>
    <col min="3" max="3" width="9.42578125" style="11" customWidth="1"/>
    <col min="4" max="4" width="11" style="11" customWidth="1"/>
    <col min="5" max="5" width="7.140625" style="11" customWidth="1"/>
    <col min="6" max="6" width="9.85546875" style="11" customWidth="1"/>
    <col min="7" max="7" width="11.140625" style="11" customWidth="1"/>
    <col min="8" max="8" width="7" style="11" customWidth="1"/>
    <col min="9" max="9" width="9.28515625" style="11" customWidth="1"/>
    <col min="10" max="10" width="7.140625" style="11" customWidth="1"/>
    <col min="11" max="11" width="8.7109375" style="11" customWidth="1"/>
    <col min="12" max="12" width="7.28515625" style="11" customWidth="1"/>
    <col min="13" max="13" width="2.7109375" style="11" customWidth="1"/>
    <col min="14" max="14" width="9.5703125" style="11" customWidth="1"/>
    <col min="15" max="15" width="9.7109375" style="11" customWidth="1"/>
    <col min="16" max="16384" width="9.140625" style="11"/>
  </cols>
  <sheetData>
    <row r="1" spans="2:15" x14ac:dyDescent="0.25">
      <c r="B1" s="11" t="s">
        <v>553</v>
      </c>
    </row>
    <row r="2" spans="2:15" ht="15.75" thickBot="1" x14ac:dyDescent="0.3">
      <c r="B2" s="11" t="s">
        <v>311</v>
      </c>
    </row>
    <row r="3" spans="2:15" ht="15.75" thickBot="1" x14ac:dyDescent="0.3">
      <c r="B3" s="991" t="s">
        <v>108</v>
      </c>
      <c r="C3" s="1023" t="s">
        <v>145</v>
      </c>
      <c r="D3" s="1024"/>
      <c r="E3" s="1024"/>
      <c r="F3" s="1024"/>
      <c r="G3" s="1024"/>
      <c r="H3" s="1024"/>
      <c r="I3" s="1024"/>
      <c r="J3" s="1024"/>
      <c r="K3" s="1024"/>
      <c r="L3" s="1025"/>
    </row>
    <row r="4" spans="2:15" ht="28.5" customHeight="1" x14ac:dyDescent="0.25">
      <c r="B4" s="999"/>
      <c r="C4" s="1026" t="s">
        <v>424</v>
      </c>
      <c r="D4" s="1027"/>
      <c r="E4" s="1028"/>
      <c r="F4" s="1026" t="s">
        <v>492</v>
      </c>
      <c r="G4" s="1027"/>
      <c r="H4" s="1028"/>
      <c r="I4" s="1026" t="s">
        <v>109</v>
      </c>
      <c r="J4" s="1027"/>
      <c r="K4" s="1027"/>
      <c r="L4" s="1028"/>
    </row>
    <row r="5" spans="2:15" ht="43.5" customHeight="1" x14ac:dyDescent="0.25">
      <c r="B5" s="999"/>
      <c r="C5" s="1022" t="s">
        <v>4</v>
      </c>
      <c r="D5" s="1029" t="s">
        <v>72</v>
      </c>
      <c r="E5" s="1030"/>
      <c r="F5" s="1022" t="s">
        <v>4</v>
      </c>
      <c r="G5" s="1029" t="s">
        <v>72</v>
      </c>
      <c r="H5" s="1030"/>
      <c r="I5" s="1031" t="s">
        <v>4</v>
      </c>
      <c r="J5" s="1032"/>
      <c r="K5" s="1029" t="s">
        <v>72</v>
      </c>
      <c r="L5" s="1030"/>
    </row>
    <row r="6" spans="2:15" ht="15" customHeight="1" thickBot="1" x14ac:dyDescent="0.3">
      <c r="B6" s="992"/>
      <c r="C6" s="1005"/>
      <c r="D6" s="631" t="s">
        <v>107</v>
      </c>
      <c r="E6" s="662" t="s">
        <v>369</v>
      </c>
      <c r="F6" s="1005"/>
      <c r="G6" s="631" t="s">
        <v>107</v>
      </c>
      <c r="H6" s="662" t="s">
        <v>369</v>
      </c>
      <c r="I6" s="680" t="s">
        <v>107</v>
      </c>
      <c r="J6" s="631" t="s">
        <v>369</v>
      </c>
      <c r="K6" s="660" t="s">
        <v>107</v>
      </c>
      <c r="L6" s="662" t="s">
        <v>369</v>
      </c>
      <c r="N6" s="705" t="s">
        <v>313</v>
      </c>
      <c r="O6" s="705" t="s">
        <v>314</v>
      </c>
    </row>
    <row r="7" spans="2:15" ht="26.25" customHeight="1" thickBot="1" x14ac:dyDescent="0.3">
      <c r="B7" s="204" t="s">
        <v>14</v>
      </c>
      <c r="C7" s="78">
        <f>SUM(C8:C32)</f>
        <v>48793</v>
      </c>
      <c r="D7" s="263">
        <f>SUM(D8:D32)</f>
        <v>27913</v>
      </c>
      <c r="E7" s="282">
        <f>D7/C7*100</f>
        <v>57.206976410550695</v>
      </c>
      <c r="F7" s="78">
        <f>SUM(F8:F32)</f>
        <v>45529</v>
      </c>
      <c r="G7" s="263">
        <f>SUM(G8:G32)</f>
        <v>26937</v>
      </c>
      <c r="H7" s="264">
        <f>SUM(G7)/F7*100</f>
        <v>59.164488567726067</v>
      </c>
      <c r="I7" s="78">
        <f>SUM(F7)-C7</f>
        <v>-3264</v>
      </c>
      <c r="J7" s="283">
        <f>SUM(I7)/C7*100</f>
        <v>-6.6894841473162128</v>
      </c>
      <c r="K7" s="263">
        <f>SUM(G7)-D7</f>
        <v>-976</v>
      </c>
      <c r="L7" s="264">
        <f>SUM(K7)/D7*100</f>
        <v>-3.4965786551069398</v>
      </c>
      <c r="N7" s="367" t="s">
        <v>93</v>
      </c>
      <c r="O7" s="367" t="s">
        <v>93</v>
      </c>
    </row>
    <row r="8" spans="2:15" ht="18" customHeight="1" x14ac:dyDescent="0.25">
      <c r="B8" s="53" t="s">
        <v>15</v>
      </c>
      <c r="C8" s="178">
        <v>812</v>
      </c>
      <c r="D8" s="179">
        <v>515</v>
      </c>
      <c r="E8" s="100">
        <f t="shared" ref="E8:E32" si="0">D8/C8*100</f>
        <v>63.423645320197039</v>
      </c>
      <c r="F8" s="178">
        <v>655</v>
      </c>
      <c r="G8" s="179">
        <v>405</v>
      </c>
      <c r="H8" s="54">
        <f t="shared" ref="H8:H32" si="1">SUM(G8)/F8*100</f>
        <v>61.832061068702295</v>
      </c>
      <c r="I8" s="178">
        <f t="shared" ref="I8:I32" si="2">SUM(F8)-C8</f>
        <v>-157</v>
      </c>
      <c r="J8" s="270">
        <f t="shared" ref="J8:J32" si="3">SUM(I8)/C8*100</f>
        <v>-19.334975369458128</v>
      </c>
      <c r="K8" s="179">
        <f>SUM(G8)-D8</f>
        <v>-110</v>
      </c>
      <c r="L8" s="54">
        <f t="shared" ref="L8:L32" si="4">SUM(K8)/D8*100</f>
        <v>-21.359223300970871</v>
      </c>
      <c r="N8" s="179">
        <f>RANK(F8,F8:F32,0)</f>
        <v>25</v>
      </c>
      <c r="O8" s="179">
        <f>RANK(F8,F8:F32,1)</f>
        <v>1</v>
      </c>
    </row>
    <row r="9" spans="2:15" ht="15.75" customHeight="1" x14ac:dyDescent="0.25">
      <c r="B9" s="12" t="s">
        <v>16</v>
      </c>
      <c r="C9" s="50">
        <v>2225</v>
      </c>
      <c r="D9" s="9">
        <v>1266</v>
      </c>
      <c r="E9" s="100">
        <f t="shared" si="0"/>
        <v>56.898876404494381</v>
      </c>
      <c r="F9" s="50">
        <v>2192</v>
      </c>
      <c r="G9" s="9">
        <v>1263</v>
      </c>
      <c r="H9" s="7">
        <f t="shared" si="1"/>
        <v>57.618613138686136</v>
      </c>
      <c r="I9" s="50">
        <f t="shared" si="2"/>
        <v>-33</v>
      </c>
      <c r="J9" s="101">
        <f t="shared" si="3"/>
        <v>-1.4831460674157304</v>
      </c>
      <c r="K9" s="9">
        <f>SUM(G9)-D9</f>
        <v>-3</v>
      </c>
      <c r="L9" s="7">
        <f t="shared" si="4"/>
        <v>-0.23696682464454977</v>
      </c>
      <c r="N9" s="9">
        <f>RANK(F9,F8:F32,0)</f>
        <v>7</v>
      </c>
      <c r="O9" s="9">
        <f>RANK(F9,F8:F32,1)</f>
        <v>19</v>
      </c>
    </row>
    <row r="10" spans="2:15" x14ac:dyDescent="0.25">
      <c r="B10" s="12" t="s">
        <v>17</v>
      </c>
      <c r="C10" s="50">
        <v>2245</v>
      </c>
      <c r="D10" s="9">
        <v>1204</v>
      </c>
      <c r="E10" s="100">
        <f t="shared" si="0"/>
        <v>53.630289532293986</v>
      </c>
      <c r="F10" s="50">
        <v>2179</v>
      </c>
      <c r="G10" s="9">
        <v>1173</v>
      </c>
      <c r="H10" s="7">
        <f t="shared" si="1"/>
        <v>53.832033042680131</v>
      </c>
      <c r="I10" s="50">
        <f t="shared" si="2"/>
        <v>-66</v>
      </c>
      <c r="J10" s="101">
        <f t="shared" si="3"/>
        <v>-2.9398663697104679</v>
      </c>
      <c r="K10" s="9">
        <f t="shared" ref="K10:K32" si="5">SUM(G10)-D10</f>
        <v>-31</v>
      </c>
      <c r="L10" s="7">
        <f t="shared" si="4"/>
        <v>-2.5747508305647839</v>
      </c>
      <c r="N10" s="9">
        <f>RANK(F10,F8:F32,0)</f>
        <v>8</v>
      </c>
      <c r="O10" s="9">
        <f>RANK(F10,F8:F32,1)</f>
        <v>18</v>
      </c>
    </row>
    <row r="11" spans="2:15" x14ac:dyDescent="0.25">
      <c r="B11" s="12" t="s">
        <v>18</v>
      </c>
      <c r="C11" s="50">
        <v>3310</v>
      </c>
      <c r="D11" s="9">
        <v>1997</v>
      </c>
      <c r="E11" s="100">
        <f t="shared" si="0"/>
        <v>60.332326283987911</v>
      </c>
      <c r="F11" s="50">
        <v>2867</v>
      </c>
      <c r="G11" s="9">
        <v>1669</v>
      </c>
      <c r="H11" s="7">
        <f t="shared" si="1"/>
        <v>58.214161144053008</v>
      </c>
      <c r="I11" s="50">
        <f t="shared" si="2"/>
        <v>-443</v>
      </c>
      <c r="J11" s="101">
        <f t="shared" si="3"/>
        <v>-13.383685800604232</v>
      </c>
      <c r="K11" s="9">
        <f t="shared" si="5"/>
        <v>-328</v>
      </c>
      <c r="L11" s="7">
        <f t="shared" si="4"/>
        <v>-16.424636955433151</v>
      </c>
      <c r="N11" s="9">
        <f>RANK(F11,F8:F32,0)</f>
        <v>3</v>
      </c>
      <c r="O11" s="9">
        <f>RANK(F11,F8:F32,1)</f>
        <v>23</v>
      </c>
    </row>
    <row r="12" spans="2:15" x14ac:dyDescent="0.25">
      <c r="B12" s="12" t="s">
        <v>19</v>
      </c>
      <c r="C12" s="50">
        <v>3143</v>
      </c>
      <c r="D12" s="9">
        <v>1632</v>
      </c>
      <c r="E12" s="100">
        <f t="shared" si="0"/>
        <v>51.924912503977097</v>
      </c>
      <c r="F12" s="50">
        <v>2973</v>
      </c>
      <c r="G12" s="9">
        <v>1613</v>
      </c>
      <c r="H12" s="7">
        <f t="shared" si="1"/>
        <v>54.254961318533468</v>
      </c>
      <c r="I12" s="50">
        <f t="shared" si="2"/>
        <v>-170</v>
      </c>
      <c r="J12" s="101">
        <f t="shared" si="3"/>
        <v>-5.4088450524976137</v>
      </c>
      <c r="K12" s="9">
        <f t="shared" si="5"/>
        <v>-19</v>
      </c>
      <c r="L12" s="7">
        <f t="shared" si="4"/>
        <v>-1.1642156862745099</v>
      </c>
      <c r="N12" s="9">
        <f>RANK(F12,F8:F32,0)</f>
        <v>1</v>
      </c>
      <c r="O12" s="9">
        <f>RANK(F12,F8:F32,1)</f>
        <v>25</v>
      </c>
    </row>
    <row r="13" spans="2:15" x14ac:dyDescent="0.25">
      <c r="B13" s="12" t="s">
        <v>20</v>
      </c>
      <c r="C13" s="50">
        <v>1255</v>
      </c>
      <c r="D13" s="9">
        <v>688</v>
      </c>
      <c r="E13" s="100">
        <f t="shared" si="0"/>
        <v>54.820717131474105</v>
      </c>
      <c r="F13" s="50">
        <v>1087</v>
      </c>
      <c r="G13" s="9">
        <v>625</v>
      </c>
      <c r="H13" s="7">
        <f t="shared" si="1"/>
        <v>57.497700091996315</v>
      </c>
      <c r="I13" s="50">
        <f t="shared" si="2"/>
        <v>-168</v>
      </c>
      <c r="J13" s="101">
        <f t="shared" si="3"/>
        <v>-13.386454183266933</v>
      </c>
      <c r="K13" s="9">
        <f t="shared" si="5"/>
        <v>-63</v>
      </c>
      <c r="L13" s="7">
        <f t="shared" si="4"/>
        <v>-9.1569767441860463</v>
      </c>
      <c r="N13" s="9">
        <f>RANK(F13,F8:F32,0)</f>
        <v>20</v>
      </c>
      <c r="O13" s="9">
        <f>RANK(F13,F8:F32,1)</f>
        <v>6</v>
      </c>
    </row>
    <row r="14" spans="2:15" x14ac:dyDescent="0.25">
      <c r="B14" s="12" t="s">
        <v>21</v>
      </c>
      <c r="C14" s="50">
        <v>1745</v>
      </c>
      <c r="D14" s="9">
        <v>943</v>
      </c>
      <c r="E14" s="100">
        <f t="shared" si="0"/>
        <v>54.040114613180513</v>
      </c>
      <c r="F14" s="50">
        <v>1865</v>
      </c>
      <c r="G14" s="9">
        <v>995</v>
      </c>
      <c r="H14" s="7">
        <f t="shared" si="1"/>
        <v>53.351206434316353</v>
      </c>
      <c r="I14" s="50">
        <f t="shared" si="2"/>
        <v>120</v>
      </c>
      <c r="J14" s="101">
        <f t="shared" si="3"/>
        <v>6.8767908309455592</v>
      </c>
      <c r="K14" s="9">
        <f t="shared" si="5"/>
        <v>52</v>
      </c>
      <c r="L14" s="7">
        <f t="shared" si="4"/>
        <v>5.5143160127253443</v>
      </c>
      <c r="N14" s="9">
        <f>RANK(F14,F8:F32,0)</f>
        <v>15</v>
      </c>
      <c r="O14" s="9">
        <f>RANK(F14,F8:F32,1)</f>
        <v>11</v>
      </c>
    </row>
    <row r="15" spans="2:15" x14ac:dyDescent="0.25">
      <c r="B15" s="12" t="s">
        <v>22</v>
      </c>
      <c r="C15" s="50">
        <v>934</v>
      </c>
      <c r="D15" s="9">
        <v>668</v>
      </c>
      <c r="E15" s="100">
        <f t="shared" si="0"/>
        <v>71.520342612419697</v>
      </c>
      <c r="F15" s="50">
        <v>878</v>
      </c>
      <c r="G15" s="9">
        <v>621</v>
      </c>
      <c r="H15" s="7">
        <f>SUM(G15)/F15*100</f>
        <v>70.728929384965838</v>
      </c>
      <c r="I15" s="50">
        <f t="shared" si="2"/>
        <v>-56</v>
      </c>
      <c r="J15" s="101">
        <f t="shared" si="3"/>
        <v>-5.9957173447537473</v>
      </c>
      <c r="K15" s="9">
        <f t="shared" si="5"/>
        <v>-47</v>
      </c>
      <c r="L15" s="7">
        <f t="shared" si="4"/>
        <v>-7.0359281437125745</v>
      </c>
      <c r="N15" s="9">
        <f>RANK(F15,F8:F32,0)</f>
        <v>22</v>
      </c>
      <c r="O15" s="9">
        <f>RANK(F15,F8:F32,1)</f>
        <v>4</v>
      </c>
    </row>
    <row r="16" spans="2:15" x14ac:dyDescent="0.25">
      <c r="B16" s="12" t="s">
        <v>23</v>
      </c>
      <c r="C16" s="50">
        <v>2382</v>
      </c>
      <c r="D16" s="9">
        <v>1107</v>
      </c>
      <c r="E16" s="100">
        <f t="shared" si="0"/>
        <v>46.473551637279598</v>
      </c>
      <c r="F16" s="50">
        <v>2132</v>
      </c>
      <c r="G16" s="9">
        <v>963</v>
      </c>
      <c r="H16" s="7">
        <f>SUM(G16)/F16*100</f>
        <v>45.168855534709195</v>
      </c>
      <c r="I16" s="50">
        <f t="shared" si="2"/>
        <v>-250</v>
      </c>
      <c r="J16" s="101">
        <f t="shared" si="3"/>
        <v>-10.495382031905962</v>
      </c>
      <c r="K16" s="9">
        <f t="shared" si="5"/>
        <v>-144</v>
      </c>
      <c r="L16" s="7">
        <f t="shared" si="4"/>
        <v>-13.008130081300814</v>
      </c>
      <c r="N16" s="9">
        <f>RANK(F16,F8:F32,0)</f>
        <v>9</v>
      </c>
      <c r="O16" s="9">
        <f>RANK(F16,F8:F32,1)</f>
        <v>17</v>
      </c>
    </row>
    <row r="17" spans="2:15" x14ac:dyDescent="0.25">
      <c r="B17" s="12" t="s">
        <v>24</v>
      </c>
      <c r="C17" s="50">
        <v>1447</v>
      </c>
      <c r="D17" s="9">
        <v>808</v>
      </c>
      <c r="E17" s="100">
        <f t="shared" si="0"/>
        <v>55.839668279198342</v>
      </c>
      <c r="F17" s="50">
        <v>1434</v>
      </c>
      <c r="G17" s="9">
        <v>799</v>
      </c>
      <c r="H17" s="7">
        <f>SUM(G17)/F17*100</f>
        <v>55.718270571827055</v>
      </c>
      <c r="I17" s="50">
        <f t="shared" si="2"/>
        <v>-13</v>
      </c>
      <c r="J17" s="101">
        <f t="shared" si="3"/>
        <v>-0.89841050449205251</v>
      </c>
      <c r="K17" s="9">
        <f t="shared" si="5"/>
        <v>-9</v>
      </c>
      <c r="L17" s="7">
        <f t="shared" si="4"/>
        <v>-1.1138613861386137</v>
      </c>
      <c r="N17" s="9">
        <f>RANK(F17,F8:F32,0)</f>
        <v>18</v>
      </c>
      <c r="O17" s="9">
        <f>RANK(F17,F8:F32,1)</f>
        <v>8</v>
      </c>
    </row>
    <row r="18" spans="2:15" x14ac:dyDescent="0.25">
      <c r="B18" s="12" t="s">
        <v>25</v>
      </c>
      <c r="C18" s="50">
        <v>2137</v>
      </c>
      <c r="D18" s="9">
        <v>1256</v>
      </c>
      <c r="E18" s="100">
        <f t="shared" si="0"/>
        <v>58.773982218062706</v>
      </c>
      <c r="F18" s="50">
        <v>1919</v>
      </c>
      <c r="G18" s="9">
        <v>1158</v>
      </c>
      <c r="H18" s="7">
        <f t="shared" si="1"/>
        <v>60.343929129755082</v>
      </c>
      <c r="I18" s="50">
        <f t="shared" si="2"/>
        <v>-218</v>
      </c>
      <c r="J18" s="101">
        <f t="shared" si="3"/>
        <v>-10.201216658867571</v>
      </c>
      <c r="K18" s="9">
        <f t="shared" si="5"/>
        <v>-98</v>
      </c>
      <c r="L18" s="7">
        <f t="shared" si="4"/>
        <v>-7.8025477707006363</v>
      </c>
      <c r="N18" s="9">
        <f>RANK(F18,F8:F32,0)</f>
        <v>11</v>
      </c>
      <c r="O18" s="9">
        <f>RANK(F18,F8:F32,1)</f>
        <v>15</v>
      </c>
    </row>
    <row r="19" spans="2:15" x14ac:dyDescent="0.25">
      <c r="B19" s="12" t="s">
        <v>26</v>
      </c>
      <c r="C19" s="50">
        <v>2449</v>
      </c>
      <c r="D19" s="9">
        <v>1558</v>
      </c>
      <c r="E19" s="100">
        <f t="shared" si="0"/>
        <v>63.617803184973454</v>
      </c>
      <c r="F19" s="50">
        <v>2355</v>
      </c>
      <c r="G19" s="9">
        <v>1596</v>
      </c>
      <c r="H19" s="7">
        <f t="shared" si="1"/>
        <v>67.770700636942678</v>
      </c>
      <c r="I19" s="50">
        <f t="shared" si="2"/>
        <v>-94</v>
      </c>
      <c r="J19" s="101">
        <f t="shared" si="3"/>
        <v>-3.8383013474887706</v>
      </c>
      <c r="K19" s="9">
        <f t="shared" si="5"/>
        <v>38</v>
      </c>
      <c r="L19" s="7">
        <f t="shared" si="4"/>
        <v>2.4390243902439024</v>
      </c>
      <c r="N19" s="9">
        <f>RANK(F19,F8:F32,0)</f>
        <v>6</v>
      </c>
      <c r="O19" s="9">
        <f>RANK(F19,F8:F32,1)</f>
        <v>20</v>
      </c>
    </row>
    <row r="20" spans="2:15" x14ac:dyDescent="0.25">
      <c r="B20" s="12" t="s">
        <v>27</v>
      </c>
      <c r="C20" s="50">
        <v>1927</v>
      </c>
      <c r="D20" s="9">
        <v>977</v>
      </c>
      <c r="E20" s="100">
        <f t="shared" si="0"/>
        <v>50.700570835495583</v>
      </c>
      <c r="F20" s="50">
        <v>1933</v>
      </c>
      <c r="G20" s="9">
        <v>1013</v>
      </c>
      <c r="H20" s="7">
        <f t="shared" si="1"/>
        <v>52.405587170201763</v>
      </c>
      <c r="I20" s="50">
        <f t="shared" si="2"/>
        <v>6</v>
      </c>
      <c r="J20" s="101">
        <f t="shared" si="3"/>
        <v>0.31136481577581732</v>
      </c>
      <c r="K20" s="9">
        <f t="shared" si="5"/>
        <v>36</v>
      </c>
      <c r="L20" s="7">
        <f t="shared" si="4"/>
        <v>3.6847492323439099</v>
      </c>
      <c r="N20" s="9">
        <f>RANK(F20,F8:F32,0)</f>
        <v>10</v>
      </c>
      <c r="O20" s="9">
        <f>RANK(F20,F8:F32,1)</f>
        <v>16</v>
      </c>
    </row>
    <row r="21" spans="2:15" x14ac:dyDescent="0.25">
      <c r="B21" s="16" t="s">
        <v>28</v>
      </c>
      <c r="C21" s="50">
        <v>1829</v>
      </c>
      <c r="D21" s="9">
        <v>955</v>
      </c>
      <c r="E21" s="100">
        <f t="shared" si="0"/>
        <v>52.214324767632583</v>
      </c>
      <c r="F21" s="50">
        <v>1883</v>
      </c>
      <c r="G21" s="9">
        <v>1078</v>
      </c>
      <c r="H21" s="7">
        <f t="shared" si="1"/>
        <v>57.249070631970255</v>
      </c>
      <c r="I21" s="50">
        <f t="shared" si="2"/>
        <v>54</v>
      </c>
      <c r="J21" s="101">
        <f t="shared" si="3"/>
        <v>2.9524330235101148</v>
      </c>
      <c r="K21" s="9">
        <f t="shared" si="5"/>
        <v>123</v>
      </c>
      <c r="L21" s="7">
        <f t="shared" si="4"/>
        <v>12.879581151832461</v>
      </c>
      <c r="N21" s="9">
        <f>RANK(F21,F8:F32,0)</f>
        <v>14</v>
      </c>
      <c r="O21" s="9">
        <f>RANK(F21,F8:F32,1)</f>
        <v>12</v>
      </c>
    </row>
    <row r="22" spans="2:15" x14ac:dyDescent="0.25">
      <c r="B22" s="16" t="s">
        <v>29</v>
      </c>
      <c r="C22" s="50">
        <v>2726</v>
      </c>
      <c r="D22" s="9">
        <v>1579</v>
      </c>
      <c r="E22" s="100">
        <f t="shared" si="0"/>
        <v>57.92369772560528</v>
      </c>
      <c r="F22" s="50">
        <v>2378</v>
      </c>
      <c r="G22" s="9">
        <v>1441</v>
      </c>
      <c r="H22" s="7">
        <f t="shared" si="1"/>
        <v>60.597140454163167</v>
      </c>
      <c r="I22" s="50">
        <f t="shared" si="2"/>
        <v>-348</v>
      </c>
      <c r="J22" s="101">
        <f t="shared" si="3"/>
        <v>-12.76595744680851</v>
      </c>
      <c r="K22" s="9">
        <f t="shared" si="5"/>
        <v>-138</v>
      </c>
      <c r="L22" s="7">
        <f t="shared" si="4"/>
        <v>-8.7397086763774539</v>
      </c>
      <c r="N22" s="9">
        <f>RANK(F22,F8:F32,0)</f>
        <v>5</v>
      </c>
      <c r="O22" s="9">
        <f>RANK(F22,F8:F32,1)</f>
        <v>21</v>
      </c>
    </row>
    <row r="23" spans="2:15" x14ac:dyDescent="0.25">
      <c r="B23" s="16" t="s">
        <v>30</v>
      </c>
      <c r="C23" s="50">
        <v>2073</v>
      </c>
      <c r="D23" s="9">
        <v>1186</v>
      </c>
      <c r="E23" s="100">
        <f t="shared" si="0"/>
        <v>57.211770381090211</v>
      </c>
      <c r="F23" s="50">
        <v>1886</v>
      </c>
      <c r="G23" s="9">
        <v>1116</v>
      </c>
      <c r="H23" s="7">
        <f t="shared" si="1"/>
        <v>59.172852598091197</v>
      </c>
      <c r="I23" s="50">
        <f t="shared" si="2"/>
        <v>-187</v>
      </c>
      <c r="J23" s="101">
        <f t="shared" si="3"/>
        <v>-9.0207428847081523</v>
      </c>
      <c r="K23" s="9">
        <f t="shared" si="5"/>
        <v>-70</v>
      </c>
      <c r="L23" s="7">
        <f t="shared" si="4"/>
        <v>-5.9021922428330518</v>
      </c>
      <c r="N23" s="9">
        <f>RANK(F23,F8:F32,0)</f>
        <v>12</v>
      </c>
      <c r="O23" s="9">
        <f>RANK(F23,F8:F32,1)</f>
        <v>14</v>
      </c>
    </row>
    <row r="24" spans="2:15" x14ac:dyDescent="0.25">
      <c r="B24" s="16" t="s">
        <v>31</v>
      </c>
      <c r="C24" s="50">
        <v>2938</v>
      </c>
      <c r="D24" s="9">
        <v>1817</v>
      </c>
      <c r="E24" s="100">
        <f t="shared" si="0"/>
        <v>61.84479237576582</v>
      </c>
      <c r="F24" s="50">
        <v>2695</v>
      </c>
      <c r="G24" s="9">
        <v>1783</v>
      </c>
      <c r="H24" s="7">
        <f t="shared" si="1"/>
        <v>66.159554730983302</v>
      </c>
      <c r="I24" s="50">
        <f t="shared" si="2"/>
        <v>-243</v>
      </c>
      <c r="J24" s="101">
        <f t="shared" si="3"/>
        <v>-8.2709326072157925</v>
      </c>
      <c r="K24" s="9">
        <f t="shared" si="5"/>
        <v>-34</v>
      </c>
      <c r="L24" s="7">
        <f t="shared" si="4"/>
        <v>-1.8712162905888827</v>
      </c>
      <c r="N24" s="9">
        <f>RANK(F24,F8:F32,0)</f>
        <v>4</v>
      </c>
      <c r="O24" s="9">
        <f>RANK(F24,F8:F32,1)</f>
        <v>22</v>
      </c>
    </row>
    <row r="25" spans="2:15" x14ac:dyDescent="0.25">
      <c r="B25" s="16" t="s">
        <v>32</v>
      </c>
      <c r="C25" s="50">
        <v>1770</v>
      </c>
      <c r="D25" s="9">
        <v>1112</v>
      </c>
      <c r="E25" s="100">
        <f t="shared" si="0"/>
        <v>62.824858757062152</v>
      </c>
      <c r="F25" s="50">
        <v>1822</v>
      </c>
      <c r="G25" s="9">
        <v>1130</v>
      </c>
      <c r="H25" s="7">
        <f t="shared" si="1"/>
        <v>62.019758507135016</v>
      </c>
      <c r="I25" s="50">
        <f t="shared" si="2"/>
        <v>52</v>
      </c>
      <c r="J25" s="101">
        <f t="shared" si="3"/>
        <v>2.9378531073446328</v>
      </c>
      <c r="K25" s="9">
        <f t="shared" si="5"/>
        <v>18</v>
      </c>
      <c r="L25" s="7">
        <f t="shared" si="4"/>
        <v>1.6187050359712229</v>
      </c>
      <c r="N25" s="9">
        <f>RANK(F25,F8:F32,0)</f>
        <v>16</v>
      </c>
      <c r="O25" s="9">
        <f>RANK(F25,F8:F32,1)</f>
        <v>10</v>
      </c>
    </row>
    <row r="26" spans="2:15" x14ac:dyDescent="0.25">
      <c r="B26" s="16" t="s">
        <v>33</v>
      </c>
      <c r="C26" s="50">
        <v>1868</v>
      </c>
      <c r="D26" s="9">
        <v>1051</v>
      </c>
      <c r="E26" s="100">
        <f t="shared" si="0"/>
        <v>56.263383297644545</v>
      </c>
      <c r="F26" s="50">
        <v>1704</v>
      </c>
      <c r="G26" s="9">
        <v>999</v>
      </c>
      <c r="H26" s="7">
        <f t="shared" si="1"/>
        <v>58.626760563380287</v>
      </c>
      <c r="I26" s="50">
        <f t="shared" si="2"/>
        <v>-164</v>
      </c>
      <c r="J26" s="101">
        <f t="shared" si="3"/>
        <v>-8.7794432548179877</v>
      </c>
      <c r="K26" s="9">
        <f t="shared" si="5"/>
        <v>-52</v>
      </c>
      <c r="L26" s="7">
        <f t="shared" si="4"/>
        <v>-4.9476688867745002</v>
      </c>
      <c r="N26" s="9">
        <f>RANK(F26,F8:F32,0)</f>
        <v>17</v>
      </c>
      <c r="O26" s="9">
        <f>RANK(F26,F8:F32,1)</f>
        <v>9</v>
      </c>
    </row>
    <row r="27" spans="2:15" x14ac:dyDescent="0.25">
      <c r="B27" s="16" t="s">
        <v>34</v>
      </c>
      <c r="C27" s="50">
        <v>2196</v>
      </c>
      <c r="D27" s="9">
        <v>1269</v>
      </c>
      <c r="E27" s="100">
        <f t="shared" si="0"/>
        <v>57.786885245901644</v>
      </c>
      <c r="F27" s="50">
        <v>1884</v>
      </c>
      <c r="G27" s="9">
        <v>1254</v>
      </c>
      <c r="H27" s="7">
        <f t="shared" si="1"/>
        <v>66.560509554140125</v>
      </c>
      <c r="I27" s="50">
        <f t="shared" si="2"/>
        <v>-312</v>
      </c>
      <c r="J27" s="101">
        <f t="shared" si="3"/>
        <v>-14.207650273224044</v>
      </c>
      <c r="K27" s="9">
        <f t="shared" si="5"/>
        <v>-15</v>
      </c>
      <c r="L27" s="7">
        <f t="shared" si="4"/>
        <v>-1.1820330969267139</v>
      </c>
      <c r="N27" s="9">
        <f>RANK(F27,F8:F32,0)</f>
        <v>13</v>
      </c>
      <c r="O27" s="9">
        <f>RANK(F27,F8:F32,1)</f>
        <v>13</v>
      </c>
    </row>
    <row r="28" spans="2:15" x14ac:dyDescent="0.25">
      <c r="B28" s="16" t="s">
        <v>35</v>
      </c>
      <c r="C28" s="50">
        <v>1130</v>
      </c>
      <c r="D28" s="9">
        <v>711</v>
      </c>
      <c r="E28" s="100">
        <f t="shared" si="0"/>
        <v>62.920353982300881</v>
      </c>
      <c r="F28" s="50">
        <v>943</v>
      </c>
      <c r="G28" s="9">
        <v>627</v>
      </c>
      <c r="H28" s="7">
        <f t="shared" si="1"/>
        <v>66.489925768822914</v>
      </c>
      <c r="I28" s="50">
        <f t="shared" si="2"/>
        <v>-187</v>
      </c>
      <c r="J28" s="101">
        <f t="shared" si="3"/>
        <v>-16.548672566371682</v>
      </c>
      <c r="K28" s="9">
        <f t="shared" si="5"/>
        <v>-84</v>
      </c>
      <c r="L28" s="7">
        <f t="shared" si="4"/>
        <v>-11.814345991561181</v>
      </c>
      <c r="N28" s="9">
        <f>RANK(F28,F8:F32,0)</f>
        <v>21</v>
      </c>
      <c r="O28" s="9">
        <f>RANK(F28,F8:F32,1)</f>
        <v>5</v>
      </c>
    </row>
    <row r="29" spans="2:15" x14ac:dyDescent="0.25">
      <c r="B29" s="16" t="s">
        <v>256</v>
      </c>
      <c r="C29" s="50">
        <v>699</v>
      </c>
      <c r="D29" s="9">
        <v>363</v>
      </c>
      <c r="E29" s="100">
        <f t="shared" si="0"/>
        <v>51.931330472102999</v>
      </c>
      <c r="F29" s="50">
        <v>756</v>
      </c>
      <c r="G29" s="9">
        <v>426</v>
      </c>
      <c r="H29" s="7">
        <f t="shared" si="1"/>
        <v>56.349206349206348</v>
      </c>
      <c r="I29" s="50">
        <f t="shared" si="2"/>
        <v>57</v>
      </c>
      <c r="J29" s="101">
        <f t="shared" si="3"/>
        <v>8.1545064377682408</v>
      </c>
      <c r="K29" s="9">
        <f t="shared" si="5"/>
        <v>63</v>
      </c>
      <c r="L29" s="7">
        <f t="shared" si="4"/>
        <v>17.355371900826448</v>
      </c>
      <c r="N29" s="9">
        <f>RANK(F29,F8:F32,0)</f>
        <v>24</v>
      </c>
      <c r="O29" s="9">
        <f>RANK(F29,F8:F32,1)</f>
        <v>2</v>
      </c>
    </row>
    <row r="30" spans="2:15" x14ac:dyDescent="0.25">
      <c r="B30" s="16" t="s">
        <v>257</v>
      </c>
      <c r="C30" s="50">
        <v>1320</v>
      </c>
      <c r="D30" s="9">
        <v>694</v>
      </c>
      <c r="E30" s="100">
        <f t="shared" si="0"/>
        <v>52.575757575757578</v>
      </c>
      <c r="F30" s="50">
        <v>1354</v>
      </c>
      <c r="G30" s="9">
        <v>740</v>
      </c>
      <c r="H30" s="7">
        <f t="shared" si="1"/>
        <v>54.652880354505172</v>
      </c>
      <c r="I30" s="50">
        <f t="shared" si="2"/>
        <v>34</v>
      </c>
      <c r="J30" s="101">
        <f t="shared" si="3"/>
        <v>2.5757575757575757</v>
      </c>
      <c r="K30" s="9">
        <f t="shared" si="5"/>
        <v>46</v>
      </c>
      <c r="L30" s="7">
        <f t="shared" si="4"/>
        <v>6.6282420749279538</v>
      </c>
      <c r="N30" s="9">
        <f>RANK(F30,F8:F32,0)</f>
        <v>19</v>
      </c>
      <c r="O30" s="9">
        <f>RANK(F30,F8:F32,1)</f>
        <v>7</v>
      </c>
    </row>
    <row r="31" spans="2:15" x14ac:dyDescent="0.25">
      <c r="B31" s="16" t="s">
        <v>258</v>
      </c>
      <c r="C31" s="50">
        <v>3271</v>
      </c>
      <c r="D31" s="9">
        <v>1993</v>
      </c>
      <c r="E31" s="100">
        <f t="shared" si="0"/>
        <v>60.929379394680524</v>
      </c>
      <c r="F31" s="50">
        <v>2934</v>
      </c>
      <c r="G31" s="9">
        <v>1923</v>
      </c>
      <c r="H31" s="7">
        <f t="shared" si="1"/>
        <v>65.541922290388541</v>
      </c>
      <c r="I31" s="50">
        <f t="shared" si="2"/>
        <v>-337</v>
      </c>
      <c r="J31" s="101">
        <f t="shared" si="3"/>
        <v>-10.302659737083461</v>
      </c>
      <c r="K31" s="9">
        <f t="shared" si="5"/>
        <v>-70</v>
      </c>
      <c r="L31" s="7">
        <f t="shared" si="4"/>
        <v>-3.5122930255895635</v>
      </c>
      <c r="N31" s="9">
        <f>RANK(F31,F8:F32,0)</f>
        <v>2</v>
      </c>
      <c r="O31" s="9">
        <f>RANK(F31,F8:F32,1)</f>
        <v>24</v>
      </c>
    </row>
    <row r="32" spans="2:15" ht="15.75" thickBot="1" x14ac:dyDescent="0.3">
      <c r="B32" s="17" t="s">
        <v>259</v>
      </c>
      <c r="C32" s="3">
        <v>962</v>
      </c>
      <c r="D32" s="5">
        <v>564</v>
      </c>
      <c r="E32" s="102">
        <f t="shared" si="0"/>
        <v>58.627858627858629</v>
      </c>
      <c r="F32" s="3">
        <v>821</v>
      </c>
      <c r="G32" s="5">
        <v>527</v>
      </c>
      <c r="H32" s="8">
        <f t="shared" si="1"/>
        <v>64.190012180267956</v>
      </c>
      <c r="I32" s="3">
        <f t="shared" si="2"/>
        <v>-141</v>
      </c>
      <c r="J32" s="47">
        <f t="shared" si="3"/>
        <v>-14.656964656964657</v>
      </c>
      <c r="K32" s="5">
        <f t="shared" si="5"/>
        <v>-37</v>
      </c>
      <c r="L32" s="8">
        <f t="shared" si="4"/>
        <v>-6.5602836879432624</v>
      </c>
      <c r="N32" s="5">
        <f>RANK(F32,F8:F32,0)</f>
        <v>23</v>
      </c>
      <c r="O32" s="5">
        <f>RANK(F32,F8:F32,1)</f>
        <v>3</v>
      </c>
    </row>
  </sheetData>
  <mergeCells count="11">
    <mergeCell ref="B3:B6"/>
    <mergeCell ref="C5:C6"/>
    <mergeCell ref="C3:L3"/>
    <mergeCell ref="F4:H4"/>
    <mergeCell ref="C4:E4"/>
    <mergeCell ref="I4:L4"/>
    <mergeCell ref="F5:F6"/>
    <mergeCell ref="G5:H5"/>
    <mergeCell ref="D5:E5"/>
    <mergeCell ref="I5:J5"/>
    <mergeCell ref="K5:L5"/>
  </mergeCells>
  <pageMargins left="1.299212598425197" right="0" top="0.6692913385826772" bottom="0" header="0" footer="0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B1:L35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77" customWidth="1"/>
    <col min="2" max="2" width="36.7109375" style="77" customWidth="1"/>
    <col min="3" max="3" width="10.5703125" style="77" customWidth="1"/>
    <col min="4" max="4" width="10.7109375" style="77" customWidth="1"/>
    <col min="5" max="5" width="10.5703125" style="77" customWidth="1"/>
    <col min="6" max="6" width="10.28515625" style="77" customWidth="1"/>
    <col min="7" max="7" width="14" style="77" customWidth="1"/>
    <col min="8" max="8" width="9" style="77" customWidth="1"/>
    <col min="9" max="9" width="2.42578125" style="77" customWidth="1"/>
    <col min="10" max="10" width="5.140625" style="295" customWidth="1"/>
    <col min="11" max="11" width="24" style="77" customWidth="1"/>
    <col min="12" max="12" width="25.28515625" style="368" customWidth="1"/>
    <col min="13" max="16384" width="9.140625" style="77"/>
  </cols>
  <sheetData>
    <row r="1" spans="2:12" x14ac:dyDescent="0.25">
      <c r="B1" s="11" t="s">
        <v>554</v>
      </c>
      <c r="C1" s="11"/>
      <c r="D1" s="11"/>
      <c r="E1" s="11"/>
      <c r="F1" s="11"/>
      <c r="G1" s="11"/>
      <c r="H1" s="11"/>
      <c r="I1" s="11"/>
    </row>
    <row r="2" spans="2:12" ht="15.75" thickBot="1" x14ac:dyDescent="0.3">
      <c r="B2" s="11" t="s">
        <v>336</v>
      </c>
      <c r="C2" s="11"/>
      <c r="D2" s="11"/>
      <c r="E2" s="11"/>
      <c r="F2" s="11"/>
      <c r="G2" s="11"/>
      <c r="H2" s="11"/>
      <c r="I2" s="11"/>
    </row>
    <row r="3" spans="2:12" ht="24" customHeight="1" x14ac:dyDescent="0.25">
      <c r="B3" s="1023" t="s">
        <v>146</v>
      </c>
      <c r="C3" s="1039" t="s">
        <v>425</v>
      </c>
      <c r="D3" s="1039"/>
      <c r="E3" s="1037" t="s">
        <v>484</v>
      </c>
      <c r="F3" s="1038"/>
      <c r="G3" s="1040" t="s">
        <v>502</v>
      </c>
      <c r="H3" s="1042" t="s">
        <v>369</v>
      </c>
      <c r="I3" s="390"/>
    </row>
    <row r="4" spans="2:12" ht="30.75" thickBot="1" x14ac:dyDescent="0.3">
      <c r="B4" s="1036"/>
      <c r="C4" s="681" t="s">
        <v>4</v>
      </c>
      <c r="D4" s="681" t="s">
        <v>94</v>
      </c>
      <c r="E4" s="682" t="s">
        <v>4</v>
      </c>
      <c r="F4" s="683" t="s">
        <v>94</v>
      </c>
      <c r="G4" s="1041"/>
      <c r="H4" s="1009"/>
      <c r="I4" s="390"/>
    </row>
    <row r="5" spans="2:12" ht="39.75" customHeight="1" thickBot="1" x14ac:dyDescent="0.3">
      <c r="B5" s="204" t="s">
        <v>292</v>
      </c>
      <c r="C5" s="165">
        <f>SUM(C10:C34)</f>
        <v>9522</v>
      </c>
      <c r="D5" s="165">
        <f>SUM(D10:D34)</f>
        <v>5062</v>
      </c>
      <c r="E5" s="43">
        <f>SUM(E10:E34)</f>
        <v>9946</v>
      </c>
      <c r="F5" s="45">
        <f>SUM(F10:F34)</f>
        <v>5240</v>
      </c>
      <c r="G5" s="167">
        <f>SUM(E5-C5)</f>
        <v>424</v>
      </c>
      <c r="H5" s="44">
        <f>(E5-C5)*100/C5</f>
        <v>4.4528460407477422</v>
      </c>
      <c r="I5" s="394"/>
      <c r="K5" s="299"/>
    </row>
    <row r="6" spans="2:12" ht="24.75" customHeight="1" x14ac:dyDescent="0.25">
      <c r="B6" s="114" t="s">
        <v>144</v>
      </c>
      <c r="C6" s="104">
        <v>9463</v>
      </c>
      <c r="D6" s="104">
        <v>5023</v>
      </c>
      <c r="E6" s="30">
        <v>9880</v>
      </c>
      <c r="F6" s="341">
        <v>5192</v>
      </c>
      <c r="G6" s="103">
        <f>SUM(E6-C6)</f>
        <v>417</v>
      </c>
      <c r="H6" s="31">
        <f>(E6-C6)*100/C6</f>
        <v>4.4066363732431579</v>
      </c>
      <c r="I6" s="395"/>
      <c r="K6" s="295"/>
      <c r="L6" s="399"/>
    </row>
    <row r="7" spans="2:12" ht="35.25" customHeight="1" x14ac:dyDescent="0.25">
      <c r="B7" s="115" t="s">
        <v>143</v>
      </c>
      <c r="C7" s="21">
        <v>1345</v>
      </c>
      <c r="D7" s="21">
        <v>671</v>
      </c>
      <c r="E7" s="445">
        <v>1392</v>
      </c>
      <c r="F7" s="446">
        <v>741</v>
      </c>
      <c r="G7" s="116">
        <f>SUM(E7-C7)</f>
        <v>47</v>
      </c>
      <c r="H7" s="117">
        <f>(E7-C7)*100/C7</f>
        <v>3.4944237918215615</v>
      </c>
      <c r="I7" s="395"/>
      <c r="K7" s="295"/>
      <c r="L7" s="399"/>
    </row>
    <row r="8" spans="2:12" ht="28.5" customHeight="1" thickBot="1" x14ac:dyDescent="0.3">
      <c r="B8" s="447" t="s">
        <v>385</v>
      </c>
      <c r="C8" s="19">
        <v>59</v>
      </c>
      <c r="D8" s="19">
        <v>39</v>
      </c>
      <c r="E8" s="18">
        <v>66</v>
      </c>
      <c r="F8" s="287">
        <v>48</v>
      </c>
      <c r="G8" s="88">
        <f>SUM(E8-C8)</f>
        <v>7</v>
      </c>
      <c r="H8" s="26">
        <f>(E8-C8)*100/C8</f>
        <v>11.864406779661017</v>
      </c>
      <c r="I8" s="395"/>
      <c r="K8" s="295"/>
      <c r="L8" s="399"/>
    </row>
    <row r="9" spans="2:12" ht="18" customHeight="1" thickBot="1" x14ac:dyDescent="0.3">
      <c r="B9" s="1033" t="s">
        <v>147</v>
      </c>
      <c r="C9" s="1034"/>
      <c r="D9" s="1034"/>
      <c r="E9" s="1034"/>
      <c r="F9" s="1034"/>
      <c r="G9" s="1034"/>
      <c r="H9" s="1035"/>
      <c r="I9" s="396"/>
    </row>
    <row r="10" spans="2:12" ht="15.75" customHeight="1" x14ac:dyDescent="0.25">
      <c r="B10" s="53" t="s">
        <v>15</v>
      </c>
      <c r="C10" s="104">
        <v>115</v>
      </c>
      <c r="D10" s="104">
        <v>49</v>
      </c>
      <c r="E10" s="36">
        <v>127</v>
      </c>
      <c r="F10" s="285">
        <v>51</v>
      </c>
      <c r="G10" s="103">
        <f t="shared" ref="G10:G34" si="0">SUM(E10-C10)</f>
        <v>12</v>
      </c>
      <c r="H10" s="400">
        <f t="shared" ref="H10:H34" si="1">(E10-C10)*100/C10</f>
        <v>10.434782608695652</v>
      </c>
      <c r="I10" s="397"/>
      <c r="J10" s="398">
        <f>RANK(H10,$H$10:$H$34,1)+COUNTIF($H$10:H10,H10)-1</f>
        <v>17</v>
      </c>
      <c r="K10" s="77" t="str">
        <f>INDEX(B10:H34,MATCH(1,J10:J34,0),1)</f>
        <v>Przemyśl</v>
      </c>
      <c r="L10" s="399">
        <f>INDEX(B10:H34,MATCH(1,J10:J34,0),7)</f>
        <v>-13.028169014084508</v>
      </c>
    </row>
    <row r="11" spans="2:12" x14ac:dyDescent="0.25">
      <c r="B11" s="12" t="s">
        <v>16</v>
      </c>
      <c r="C11" s="14">
        <v>543</v>
      </c>
      <c r="D11" s="14">
        <v>255</v>
      </c>
      <c r="E11" s="13">
        <v>525</v>
      </c>
      <c r="F11" s="286">
        <v>240</v>
      </c>
      <c r="G11" s="87">
        <f t="shared" si="0"/>
        <v>-18</v>
      </c>
      <c r="H11" s="105">
        <f t="shared" si="1"/>
        <v>-3.3149171270718232</v>
      </c>
      <c r="I11" s="397"/>
      <c r="J11" s="398">
        <f>RANK(H11,$H$10:$H$34,1)+COUNTIF($H$11:H11,H11)-1</f>
        <v>7</v>
      </c>
      <c r="K11" s="77" t="str">
        <f>INDEX(B10:H34,MATCH(2,J10:J34,0),1)</f>
        <v>dębicki</v>
      </c>
      <c r="L11" s="399">
        <f>INDEX(B10:H34,MATCH(2,J10:J34,0),7)</f>
        <v>-9.6852300242130749</v>
      </c>
    </row>
    <row r="12" spans="2:12" x14ac:dyDescent="0.25">
      <c r="B12" s="12" t="s">
        <v>17</v>
      </c>
      <c r="C12" s="14">
        <v>413</v>
      </c>
      <c r="D12" s="14">
        <v>237</v>
      </c>
      <c r="E12" s="13">
        <v>373</v>
      </c>
      <c r="F12" s="286">
        <v>227</v>
      </c>
      <c r="G12" s="87">
        <f t="shared" si="0"/>
        <v>-40</v>
      </c>
      <c r="H12" s="105">
        <f t="shared" si="1"/>
        <v>-9.6852300242130749</v>
      </c>
      <c r="I12" s="397"/>
      <c r="J12" s="398">
        <f>RANK(H12,$H$10:$H$34,1)+COUNTIF($H$12:H12,H12)-1</f>
        <v>2</v>
      </c>
      <c r="K12" s="77" t="str">
        <f>INDEX(B10:H34,MATCH(3,J10:J34,0),1)</f>
        <v>przemyski</v>
      </c>
      <c r="L12" s="399">
        <f>INDEX(B10:H34,MATCH(3,J10:J34,0),7)</f>
        <v>-8.0188679245283012</v>
      </c>
    </row>
    <row r="13" spans="2:12" x14ac:dyDescent="0.25">
      <c r="B13" s="12" t="s">
        <v>18</v>
      </c>
      <c r="C13" s="14">
        <v>594</v>
      </c>
      <c r="D13" s="14">
        <v>321</v>
      </c>
      <c r="E13" s="13">
        <v>673</v>
      </c>
      <c r="F13" s="286">
        <v>334</v>
      </c>
      <c r="G13" s="87">
        <f t="shared" si="0"/>
        <v>79</v>
      </c>
      <c r="H13" s="105">
        <f t="shared" si="1"/>
        <v>13.299663299663299</v>
      </c>
      <c r="I13" s="397"/>
      <c r="J13" s="398">
        <f>RANK(H13,$H$10:$H$34,1)+COUNTIF($H$13:H13,H13)-1</f>
        <v>20</v>
      </c>
      <c r="K13" s="77" t="str">
        <f>INDEX(B10:H34,MATCH(4,J10:J34,0),1)</f>
        <v>niżański</v>
      </c>
      <c r="L13" s="399">
        <f>INDEX(B10:H34,MATCH(4,J10:J34,0),7)</f>
        <v>-6.2043795620437958</v>
      </c>
    </row>
    <row r="14" spans="2:12" x14ac:dyDescent="0.25">
      <c r="B14" s="12" t="s">
        <v>19</v>
      </c>
      <c r="C14" s="14">
        <v>668</v>
      </c>
      <c r="D14" s="14">
        <v>355</v>
      </c>
      <c r="E14" s="13">
        <v>663</v>
      </c>
      <c r="F14" s="286">
        <v>349</v>
      </c>
      <c r="G14" s="87">
        <f>SUM(E14-C14)</f>
        <v>-5</v>
      </c>
      <c r="H14" s="105">
        <f t="shared" si="1"/>
        <v>-0.74850299401197606</v>
      </c>
      <c r="I14" s="397"/>
      <c r="J14" s="398">
        <f>RANK(H14,$H$10:$H$34,1)+COUNTIF($H$14:H14,H14)-1</f>
        <v>12</v>
      </c>
      <c r="K14" s="77" t="str">
        <f>INDEX(B10:H34,MATCH(5,J10:J34,0),1)</f>
        <v>stalowowolski</v>
      </c>
      <c r="L14" s="399">
        <f>INDEX(B10:H34,MATCH(5,J10:J34,0),7)</f>
        <v>-5.7251908396946565</v>
      </c>
    </row>
    <row r="15" spans="2:12" x14ac:dyDescent="0.25">
      <c r="B15" s="12" t="s">
        <v>20</v>
      </c>
      <c r="C15" s="14">
        <v>220</v>
      </c>
      <c r="D15" s="14">
        <v>103</v>
      </c>
      <c r="E15" s="13">
        <v>337</v>
      </c>
      <c r="F15" s="286">
        <v>177</v>
      </c>
      <c r="G15" s="87">
        <f>SUM(E15-C15)</f>
        <v>117</v>
      </c>
      <c r="H15" s="105">
        <f t="shared" si="1"/>
        <v>53.18181818181818</v>
      </c>
      <c r="I15" s="397"/>
      <c r="J15" s="398">
        <f>RANK(H15,$H$10:$H$34,1)+COUNTIF($H$15:H15,H15)-1</f>
        <v>25</v>
      </c>
      <c r="K15" s="77" t="str">
        <f>INDEX(B10:H34,MATCH(6,J10:J34,0),1)</f>
        <v>strzyżowski</v>
      </c>
      <c r="L15" s="399">
        <f>INDEX(B10:H34,MATCH(6,J10:J34,0),7)</f>
        <v>-5.2631578947368425</v>
      </c>
    </row>
    <row r="16" spans="2:12" x14ac:dyDescent="0.25">
      <c r="B16" s="12" t="s">
        <v>21</v>
      </c>
      <c r="C16" s="14">
        <v>309</v>
      </c>
      <c r="D16" s="14">
        <v>185</v>
      </c>
      <c r="E16" s="13">
        <v>349</v>
      </c>
      <c r="F16" s="286">
        <v>208</v>
      </c>
      <c r="G16" s="87">
        <f t="shared" si="0"/>
        <v>40</v>
      </c>
      <c r="H16" s="105">
        <f t="shared" si="1"/>
        <v>12.944983818770227</v>
      </c>
      <c r="I16" s="397"/>
      <c r="J16" s="398">
        <f>RANK(H16,$H$10:$H$34,1)+COUNTIF($H$16:H16,H16)-1</f>
        <v>19</v>
      </c>
      <c r="K16" s="77" t="str">
        <f>INDEX(B10:H34,MATCH(7,J10:J34,0),1)</f>
        <v>brzozowski</v>
      </c>
      <c r="L16" s="399">
        <f>INDEX(B10:H34,MATCH(7,J10:J34,0),7)</f>
        <v>-3.3149171270718232</v>
      </c>
    </row>
    <row r="17" spans="2:12" x14ac:dyDescent="0.25">
      <c r="B17" s="12" t="s">
        <v>22</v>
      </c>
      <c r="C17" s="14">
        <v>200</v>
      </c>
      <c r="D17" s="14">
        <v>119</v>
      </c>
      <c r="E17" s="13">
        <v>198</v>
      </c>
      <c r="F17" s="286">
        <v>101</v>
      </c>
      <c r="G17" s="87">
        <f t="shared" si="0"/>
        <v>-2</v>
      </c>
      <c r="H17" s="105">
        <f t="shared" si="1"/>
        <v>-1</v>
      </c>
      <c r="I17" s="397"/>
      <c r="J17" s="398">
        <f>RANK(H17,$H$10:$H$34,1)+COUNTIF($H$17:H17,H17)-1</f>
        <v>10</v>
      </c>
      <c r="K17" s="77" t="str">
        <f>INDEX(B10:H34,MATCH(8,J10:J34,0),1)</f>
        <v>łańcucki</v>
      </c>
      <c r="L17" s="399">
        <f>INDEX(B10:H34,MATCH(8,J10:J34,0),7)</f>
        <v>-3.1936127744510978</v>
      </c>
    </row>
    <row r="18" spans="2:12" x14ac:dyDescent="0.25">
      <c r="B18" s="12" t="s">
        <v>23</v>
      </c>
      <c r="C18" s="14">
        <v>435</v>
      </c>
      <c r="D18" s="14">
        <v>219</v>
      </c>
      <c r="E18" s="13">
        <v>439</v>
      </c>
      <c r="F18" s="286">
        <v>215</v>
      </c>
      <c r="G18" s="87">
        <f t="shared" si="0"/>
        <v>4</v>
      </c>
      <c r="H18" s="105">
        <f t="shared" si="1"/>
        <v>0.91954022988505746</v>
      </c>
      <c r="I18" s="397"/>
      <c r="J18" s="398">
        <f>RANK(H18,$H$10:$H$34,1)+COUNTIF($H$18:H18,H18)-1</f>
        <v>13</v>
      </c>
      <c r="K18" s="77" t="str">
        <f>INDEX(B10:H34,MATCH(9,J10:J34,0),1)</f>
        <v>Rzeszów</v>
      </c>
      <c r="L18" s="399">
        <f>INDEX(B10:H34,MATCH(9,J10:J34,0),7)</f>
        <v>-2.8142589118198873</v>
      </c>
    </row>
    <row r="19" spans="2:12" x14ac:dyDescent="0.25">
      <c r="B19" s="12" t="s">
        <v>24</v>
      </c>
      <c r="C19" s="14">
        <v>213</v>
      </c>
      <c r="D19" s="14">
        <v>91</v>
      </c>
      <c r="E19" s="13">
        <v>291</v>
      </c>
      <c r="F19" s="286">
        <v>148</v>
      </c>
      <c r="G19" s="87">
        <f t="shared" si="0"/>
        <v>78</v>
      </c>
      <c r="H19" s="105">
        <f t="shared" si="1"/>
        <v>36.619718309859152</v>
      </c>
      <c r="I19" s="397"/>
      <c r="J19" s="398">
        <f>RANK(H19,$H$10:$H$34,1)+COUNTIF($H$19:H19,H19)-1</f>
        <v>24</v>
      </c>
      <c r="K19" s="77" t="str">
        <f>INDEX(B10:H34,MATCH(10,J10:J34,0),1)</f>
        <v>leski</v>
      </c>
      <c r="L19" s="399">
        <f>INDEX(B10:H34,MATCH(10,J10:J34,0),7)</f>
        <v>-1</v>
      </c>
    </row>
    <row r="20" spans="2:12" x14ac:dyDescent="0.25">
      <c r="B20" s="12" t="s">
        <v>25</v>
      </c>
      <c r="C20" s="14">
        <v>501</v>
      </c>
      <c r="D20" s="14">
        <v>277</v>
      </c>
      <c r="E20" s="13">
        <v>485</v>
      </c>
      <c r="F20" s="286">
        <v>256</v>
      </c>
      <c r="G20" s="87">
        <f t="shared" si="0"/>
        <v>-16</v>
      </c>
      <c r="H20" s="105">
        <f t="shared" si="1"/>
        <v>-3.1936127744510978</v>
      </c>
      <c r="I20" s="397"/>
      <c r="J20" s="398">
        <f>RANK(H20,$H$10:$H$34,1)+COUNTIF($H$20:H20,H20)-1</f>
        <v>8</v>
      </c>
      <c r="K20" s="77" t="str">
        <f>INDEX(B10:H34,MATCH(11,J10:J34,0),1)</f>
        <v>przeworski</v>
      </c>
      <c r="L20" s="399">
        <f>INDEX(B10:H34,MATCH(11,J10:J34,0),7)</f>
        <v>-0.80808080808080807</v>
      </c>
    </row>
    <row r="21" spans="2:12" x14ac:dyDescent="0.25">
      <c r="B21" s="12" t="s">
        <v>26</v>
      </c>
      <c r="C21" s="14">
        <v>415</v>
      </c>
      <c r="D21" s="14">
        <v>230</v>
      </c>
      <c r="E21" s="13">
        <v>429</v>
      </c>
      <c r="F21" s="286">
        <v>256</v>
      </c>
      <c r="G21" s="87">
        <f t="shared" si="0"/>
        <v>14</v>
      </c>
      <c r="H21" s="105">
        <f t="shared" si="1"/>
        <v>3.3734939759036147</v>
      </c>
      <c r="I21" s="397"/>
      <c r="J21" s="398">
        <f>RANK(H21,$H$10:$H$34,1)+COUNTIF($H$21:H21,H21)-1</f>
        <v>15</v>
      </c>
      <c r="K21" s="77" t="str">
        <f>INDEX(B10:H34,MATCH(12,J10:J34,0),1)</f>
        <v>jasielski</v>
      </c>
      <c r="L21" s="399">
        <f>INDEX(B10:H34,MATCH(12,J10:J34,0),7)</f>
        <v>-0.74850299401197606</v>
      </c>
    </row>
    <row r="22" spans="2:12" x14ac:dyDescent="0.25">
      <c r="B22" s="12" t="s">
        <v>27</v>
      </c>
      <c r="C22" s="14">
        <v>548</v>
      </c>
      <c r="D22" s="14">
        <v>290</v>
      </c>
      <c r="E22" s="13">
        <v>514</v>
      </c>
      <c r="F22" s="286">
        <v>250</v>
      </c>
      <c r="G22" s="87">
        <f t="shared" si="0"/>
        <v>-34</v>
      </c>
      <c r="H22" s="105">
        <f t="shared" si="1"/>
        <v>-6.2043795620437958</v>
      </c>
      <c r="I22" s="397"/>
      <c r="J22" s="398">
        <f>RANK(H22,$H$10:$H$34,1)+COUNTIF($H$22:H22,H22)-1</f>
        <v>4</v>
      </c>
      <c r="K22" s="77" t="str">
        <f>INDEX(B10:H34,MATCH(13,J10:J34,0),1)</f>
        <v>leżajski</v>
      </c>
      <c r="L22" s="399">
        <f>INDEX(B10:H34,MATCH(13,J10:J34,0),7)</f>
        <v>0.91954022988505746</v>
      </c>
    </row>
    <row r="23" spans="2:12" x14ac:dyDescent="0.25">
      <c r="B23" s="16" t="s">
        <v>28</v>
      </c>
      <c r="C23" s="107">
        <v>424</v>
      </c>
      <c r="D23" s="107">
        <v>198</v>
      </c>
      <c r="E23" s="106">
        <v>390</v>
      </c>
      <c r="F23" s="342">
        <v>196</v>
      </c>
      <c r="G23" s="87">
        <f t="shared" si="0"/>
        <v>-34</v>
      </c>
      <c r="H23" s="105">
        <f t="shared" si="1"/>
        <v>-8.0188679245283012</v>
      </c>
      <c r="I23" s="397"/>
      <c r="J23" s="398">
        <f>RANK(H23,$H$10:$H$34,1)+COUNTIF($H$23:H23,H23)-1</f>
        <v>3</v>
      </c>
      <c r="K23" s="77" t="str">
        <f>INDEX(B10:H34,MATCH(14,J10:J34,0),1)</f>
        <v>Krosno</v>
      </c>
      <c r="L23" s="399">
        <f>INDEX(B10:H34,MATCH(14,J10:J34,0),7)</f>
        <v>1.680672268907563</v>
      </c>
    </row>
    <row r="24" spans="2:12" x14ac:dyDescent="0.25">
      <c r="B24" s="16" t="s">
        <v>29</v>
      </c>
      <c r="C24" s="107">
        <v>495</v>
      </c>
      <c r="D24" s="107">
        <v>270</v>
      </c>
      <c r="E24" s="106">
        <v>491</v>
      </c>
      <c r="F24" s="342">
        <v>256</v>
      </c>
      <c r="G24" s="87">
        <f t="shared" si="0"/>
        <v>-4</v>
      </c>
      <c r="H24" s="105">
        <f t="shared" si="1"/>
        <v>-0.80808080808080807</v>
      </c>
      <c r="I24" s="397"/>
      <c r="J24" s="398">
        <f>RANK(H24,$H$10:$H$34,1)+COUNTIF($H$24:H24,H24)-1</f>
        <v>11</v>
      </c>
      <c r="K24" s="77" t="str">
        <f>INDEX(B10:H34,MATCH(15,J10:J34,0),1)</f>
        <v>mielecki</v>
      </c>
      <c r="L24" s="399">
        <f>INDEX(B10:H34,MATCH(15,J10:J34,0),7)</f>
        <v>3.3734939759036147</v>
      </c>
    </row>
    <row r="25" spans="2:12" x14ac:dyDescent="0.25">
      <c r="B25" s="16" t="s">
        <v>30</v>
      </c>
      <c r="C25" s="107">
        <v>484</v>
      </c>
      <c r="D25" s="107">
        <v>279</v>
      </c>
      <c r="E25" s="106">
        <v>573</v>
      </c>
      <c r="F25" s="342">
        <v>349</v>
      </c>
      <c r="G25" s="87">
        <f t="shared" si="0"/>
        <v>89</v>
      </c>
      <c r="H25" s="105">
        <f t="shared" si="1"/>
        <v>18.388429752066116</v>
      </c>
      <c r="I25" s="397"/>
      <c r="J25" s="398">
        <f>RANK(H25,$H$10:$H$34,1)+COUNTIF($H$25:H25,H25)-1</f>
        <v>21</v>
      </c>
      <c r="K25" s="77" t="str">
        <f>INDEX(B10:H34,MATCH(16,J10:J34,0),1)</f>
        <v>Tarnobrzeg</v>
      </c>
      <c r="L25" s="399">
        <f>INDEX(B10:H34,MATCH(16,J10:J34,0),7)</f>
        <v>9.375</v>
      </c>
    </row>
    <row r="26" spans="2:12" x14ac:dyDescent="0.25">
      <c r="B26" s="16" t="s">
        <v>31</v>
      </c>
      <c r="C26" s="107">
        <v>616</v>
      </c>
      <c r="D26" s="107">
        <v>321</v>
      </c>
      <c r="E26" s="106">
        <v>760</v>
      </c>
      <c r="F26" s="342">
        <v>421</v>
      </c>
      <c r="G26" s="87">
        <f t="shared" si="0"/>
        <v>144</v>
      </c>
      <c r="H26" s="105">
        <f t="shared" si="1"/>
        <v>23.376623376623378</v>
      </c>
      <c r="I26" s="397"/>
      <c r="J26" s="398">
        <f>RANK(H26,$H$10:$H$34,1)+COUNTIF($H$26:H26,H26)-1</f>
        <v>23</v>
      </c>
      <c r="K26" s="77" t="str">
        <f>INDEX(B10:H34,MATCH(17,J10:J34,0),1)</f>
        <v>bieszczadzki</v>
      </c>
      <c r="L26" s="399">
        <f>INDEX(B10:H34,MATCH(17,J10:J34,0),7)</f>
        <v>10.434782608695652</v>
      </c>
    </row>
    <row r="27" spans="2:12" x14ac:dyDescent="0.25">
      <c r="B27" s="16" t="s">
        <v>32</v>
      </c>
      <c r="C27" s="107">
        <v>333</v>
      </c>
      <c r="D27" s="107">
        <v>188</v>
      </c>
      <c r="E27" s="106">
        <v>375</v>
      </c>
      <c r="F27" s="342">
        <v>185</v>
      </c>
      <c r="G27" s="87">
        <f t="shared" si="0"/>
        <v>42</v>
      </c>
      <c r="H27" s="105">
        <f t="shared" si="1"/>
        <v>12.612612612612613</v>
      </c>
      <c r="I27" s="397"/>
      <c r="J27" s="398">
        <f>RANK(H27,$H$10:$H$34,1)+COUNTIF($H$27:H27,H27)-1</f>
        <v>18</v>
      </c>
      <c r="K27" s="77" t="str">
        <f>INDEX(B10:H34,MATCH(18,J10:J34,0),1)</f>
        <v>sanocki</v>
      </c>
      <c r="L27" s="399">
        <f>INDEX(B10:H34,MATCH(18,J10:J34,0),7)</f>
        <v>12.612612612612613</v>
      </c>
    </row>
    <row r="28" spans="2:12" x14ac:dyDescent="0.25">
      <c r="B28" s="16" t="s">
        <v>33</v>
      </c>
      <c r="C28" s="107">
        <v>262</v>
      </c>
      <c r="D28" s="107">
        <v>142</v>
      </c>
      <c r="E28" s="106">
        <v>247</v>
      </c>
      <c r="F28" s="342">
        <v>131</v>
      </c>
      <c r="G28" s="87">
        <f t="shared" si="0"/>
        <v>-15</v>
      </c>
      <c r="H28" s="105">
        <f t="shared" si="1"/>
        <v>-5.7251908396946565</v>
      </c>
      <c r="I28" s="397"/>
      <c r="J28" s="398">
        <f>RANK(H28,$H$10:$H$34,1)+COUNTIF($H$28:H28,H28)-1</f>
        <v>5</v>
      </c>
      <c r="K28" s="77" t="str">
        <f>INDEX(B10:H34,MATCH(19,J10:J34,0),1)</f>
        <v>krośnieński</v>
      </c>
      <c r="L28" s="399">
        <f>INDEX(B10:H34,MATCH(19,J10:J34,0),7)</f>
        <v>12.944983818770227</v>
      </c>
    </row>
    <row r="29" spans="2:12" x14ac:dyDescent="0.25">
      <c r="B29" s="16" t="s">
        <v>34</v>
      </c>
      <c r="C29" s="107">
        <v>475</v>
      </c>
      <c r="D29" s="107">
        <v>219</v>
      </c>
      <c r="E29" s="106">
        <v>450</v>
      </c>
      <c r="F29" s="342">
        <v>210</v>
      </c>
      <c r="G29" s="87">
        <f t="shared" si="0"/>
        <v>-25</v>
      </c>
      <c r="H29" s="105">
        <f t="shared" si="1"/>
        <v>-5.2631578947368425</v>
      </c>
      <c r="I29" s="397"/>
      <c r="J29" s="398">
        <f>RANK(H29,$H$10:$H$34,1)+COUNTIF($H$29:H29,H29)-1</f>
        <v>6</v>
      </c>
      <c r="K29" s="77" t="str">
        <f>INDEX(B10:H34,MATCH(20,J10:J34,0),1)</f>
        <v>jarosławski</v>
      </c>
      <c r="L29" s="399">
        <f>INDEX(B10:H34,MATCH(20,J10:J34,0),7)</f>
        <v>13.299663299663299</v>
      </c>
    </row>
    <row r="30" spans="2:12" x14ac:dyDescent="0.25">
      <c r="B30" s="16" t="s">
        <v>35</v>
      </c>
      <c r="C30" s="107">
        <v>195</v>
      </c>
      <c r="D30" s="107">
        <v>112</v>
      </c>
      <c r="E30" s="106">
        <v>231</v>
      </c>
      <c r="F30" s="342">
        <v>120</v>
      </c>
      <c r="G30" s="87">
        <f t="shared" si="0"/>
        <v>36</v>
      </c>
      <c r="H30" s="105">
        <f t="shared" si="1"/>
        <v>18.46153846153846</v>
      </c>
      <c r="I30" s="397"/>
      <c r="J30" s="398">
        <f>RANK(H30,$H$10:$H$34,1)+COUNTIF($H$30:H30,H30)-1</f>
        <v>22</v>
      </c>
      <c r="K30" s="77" t="str">
        <f>INDEX(B10:H34,MATCH(21,J10:J34,0),1)</f>
        <v>ropczycko-sędziszowski</v>
      </c>
      <c r="L30" s="399">
        <f>INDEX(B10:H34,MATCH(21,J10:J34,0),7)</f>
        <v>18.388429752066116</v>
      </c>
    </row>
    <row r="31" spans="2:12" x14ac:dyDescent="0.25">
      <c r="B31" s="16" t="s">
        <v>36</v>
      </c>
      <c r="C31" s="107">
        <v>119</v>
      </c>
      <c r="D31" s="107">
        <v>69</v>
      </c>
      <c r="E31" s="106">
        <v>121</v>
      </c>
      <c r="F31" s="342">
        <v>64</v>
      </c>
      <c r="G31" s="87">
        <f t="shared" si="0"/>
        <v>2</v>
      </c>
      <c r="H31" s="105">
        <f t="shared" si="1"/>
        <v>1.680672268907563</v>
      </c>
      <c r="I31" s="397"/>
      <c r="J31" s="398">
        <f>RANK(H31,$H$10:$H$34,1)+COUNTIF($H$31:H31,H31)-1</f>
        <v>14</v>
      </c>
      <c r="K31" s="77" t="str">
        <f>INDEX(B10:H34,MATCH(22,J10:J34,0),1)</f>
        <v>tarnobrzeski</v>
      </c>
      <c r="L31" s="399">
        <f>INDEX(B10:H34,MATCH(22,J10:J34,0),7)</f>
        <v>18.46153846153846</v>
      </c>
    </row>
    <row r="32" spans="2:12" x14ac:dyDescent="0.25">
      <c r="B32" s="16" t="s">
        <v>37</v>
      </c>
      <c r="C32" s="107">
        <v>284</v>
      </c>
      <c r="D32" s="107">
        <v>157</v>
      </c>
      <c r="E32" s="106">
        <v>247</v>
      </c>
      <c r="F32" s="342">
        <v>118</v>
      </c>
      <c r="G32" s="87">
        <f t="shared" si="0"/>
        <v>-37</v>
      </c>
      <c r="H32" s="105">
        <f>(E32-C32)*100/C32</f>
        <v>-13.028169014084508</v>
      </c>
      <c r="I32" s="397"/>
      <c r="J32" s="398">
        <f>RANK(H32,$H$10:$H$34,1)+COUNTIF($H$32:H32,H32)-1</f>
        <v>1</v>
      </c>
      <c r="K32" s="77" t="str">
        <f>INDEX(B10:H34,MATCH(23,J10:J34,0),1)</f>
        <v>rzeszowski</v>
      </c>
      <c r="L32" s="399">
        <f>INDEX(B10:H34,MATCH(23,J10:J34,0),7)</f>
        <v>23.376623376623378</v>
      </c>
    </row>
    <row r="33" spans="2:12" x14ac:dyDescent="0.25">
      <c r="B33" s="16" t="s">
        <v>38</v>
      </c>
      <c r="C33" s="107">
        <v>533</v>
      </c>
      <c r="D33" s="107">
        <v>303</v>
      </c>
      <c r="E33" s="106">
        <v>518</v>
      </c>
      <c r="F33" s="342">
        <v>302</v>
      </c>
      <c r="G33" s="87">
        <f t="shared" si="0"/>
        <v>-15</v>
      </c>
      <c r="H33" s="105">
        <f t="shared" si="1"/>
        <v>-2.8142589118198873</v>
      </c>
      <c r="I33" s="397"/>
      <c r="J33" s="398">
        <f>RANK(H33,$H$10:$H$34,1)+COUNTIF($H$33:H33,H33)-1</f>
        <v>9</v>
      </c>
      <c r="K33" s="77" t="str">
        <f>INDEX(B10:H34,MATCH(24,J10:J34,0),1)</f>
        <v>lubaczowski</v>
      </c>
      <c r="L33" s="399">
        <f>INDEX(B10:H34,MATCH(24,J10:J34,0),7)</f>
        <v>36.619718309859152</v>
      </c>
    </row>
    <row r="34" spans="2:12" ht="15.75" thickBot="1" x14ac:dyDescent="0.3">
      <c r="B34" s="17" t="s">
        <v>39</v>
      </c>
      <c r="C34" s="110">
        <v>128</v>
      </c>
      <c r="D34" s="110">
        <v>73</v>
      </c>
      <c r="E34" s="108">
        <v>140</v>
      </c>
      <c r="F34" s="343">
        <v>76</v>
      </c>
      <c r="G34" s="88">
        <f t="shared" si="0"/>
        <v>12</v>
      </c>
      <c r="H34" s="111">
        <f t="shared" si="1"/>
        <v>9.375</v>
      </c>
      <c r="I34" s="397"/>
      <c r="J34" s="398">
        <f>RANK(H34,$H$10:$H$34,1)+COUNTIF($H$34:H34,H34)-1</f>
        <v>16</v>
      </c>
      <c r="K34" s="77" t="str">
        <f>INDEX(B10:H34,MATCH(25,J10:J34,0),1)</f>
        <v>kolbuszowski</v>
      </c>
      <c r="L34" s="399">
        <f>INDEX(B10:H34,MATCH(25,J10:J34,0),7)</f>
        <v>53.18181818181818</v>
      </c>
    </row>
    <row r="35" spans="2:12" x14ac:dyDescent="0.25">
      <c r="C35" s="361">
        <f>SUM(C10:C34)</f>
        <v>9522</v>
      </c>
      <c r="D35" s="361">
        <f>SUM(D10:D34)</f>
        <v>5062</v>
      </c>
      <c r="E35" s="361">
        <f>SUM(E10:E34)</f>
        <v>9946</v>
      </c>
      <c r="F35" s="361">
        <f>SUM(F10:F34)</f>
        <v>5240</v>
      </c>
    </row>
  </sheetData>
  <mergeCells count="6">
    <mergeCell ref="B9:H9"/>
    <mergeCell ref="B3:B4"/>
    <mergeCell ref="E3:F3"/>
    <mergeCell ref="C3:D3"/>
    <mergeCell ref="G3:G4"/>
    <mergeCell ref="H3:H4"/>
  </mergeCells>
  <printOptions horizontalCentered="1"/>
  <pageMargins left="0" right="0" top="1.0236220472440944" bottom="0.31496062992125984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T.I</vt:lpstr>
      <vt:lpstr>T.II</vt:lpstr>
      <vt:lpstr>T.III</vt:lpstr>
      <vt:lpstr>T.IV</vt:lpstr>
      <vt:lpstr>T.V</vt:lpstr>
      <vt:lpstr>T.VI</vt:lpstr>
      <vt:lpstr>T.VII</vt:lpstr>
      <vt:lpstr>T.VIII</vt:lpstr>
      <vt:lpstr>T.IX</vt:lpstr>
      <vt:lpstr>T.X T.XI T.XII</vt:lpstr>
      <vt:lpstr>T.XIII</vt:lpstr>
      <vt:lpstr>T.XIV T.XV</vt:lpstr>
      <vt:lpstr>T.XVI</vt:lpstr>
      <vt:lpstr>T.XVII</vt:lpstr>
      <vt:lpstr>T.XVIII</vt:lpstr>
      <vt:lpstr>T.XIX</vt:lpstr>
      <vt:lpstr>T.XX</vt:lpstr>
      <vt:lpstr>T.XXI</vt:lpstr>
      <vt:lpstr>T.XXII</vt:lpstr>
      <vt:lpstr>T.XXIII</vt:lpstr>
      <vt:lpstr>T.XXIV</vt:lpstr>
      <vt:lpstr>T.XXV</vt:lpstr>
      <vt:lpstr>T.XXVI</vt:lpstr>
      <vt:lpstr>T.XXVII</vt:lpstr>
      <vt:lpstr>T.XXVIII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lastModifiedBy>Bartosz Kostecki</cp:lastModifiedBy>
  <cp:lastPrinted>2024-08-02T08:05:58Z</cp:lastPrinted>
  <dcterms:created xsi:type="dcterms:W3CDTF">2016-01-29T08:03:05Z</dcterms:created>
  <dcterms:modified xsi:type="dcterms:W3CDTF">2024-08-05T11:02:34Z</dcterms:modified>
</cp:coreProperties>
</file>